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10128" yWindow="-16692" windowWidth="23256" windowHeight="13176"/>
  </bookViews>
  <sheets>
    <sheet name="CALCULATOR (mR - feet)" sheetId="17" r:id="rId1"/>
    <sheet name="DATA" sheetId="18" state="hidden" r:id="rId2"/>
  </sheets>
  <definedNames>
    <definedName name="PipeDataImp">DATA!$V$2:$Z$175</definedName>
    <definedName name="PipeSize">DATA!$V$2:$V$175</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7" i="17" l="1"/>
  <c r="M5" i="17" l="1"/>
  <c r="Q6" i="17" l="1"/>
  <c r="Q9" i="17" l="1"/>
  <c r="Q8" i="17"/>
  <c r="D22" i="17" s="1"/>
  <c r="Z2" i="18" l="1"/>
  <c r="Z3" i="18"/>
  <c r="Z4" i="18"/>
  <c r="Z5" i="18"/>
  <c r="Z6" i="18"/>
  <c r="Z7" i="18"/>
  <c r="Z8" i="18"/>
  <c r="Z9" i="18"/>
  <c r="Z10" i="18"/>
  <c r="Z11" i="18"/>
  <c r="Z12" i="18"/>
  <c r="Z13" i="18"/>
  <c r="Z14" i="18"/>
  <c r="Z15" i="18"/>
  <c r="Z16" i="18"/>
  <c r="Z17" i="18"/>
  <c r="Z18" i="18"/>
  <c r="Z19" i="18"/>
  <c r="Z20" i="18"/>
  <c r="Z21" i="18"/>
  <c r="Z22" i="18"/>
  <c r="Z23" i="18"/>
  <c r="Z24" i="18"/>
  <c r="Z25" i="18"/>
  <c r="Z26" i="18"/>
  <c r="Z27" i="18"/>
  <c r="Z28" i="18"/>
  <c r="Z29" i="18"/>
  <c r="Z30" i="18"/>
  <c r="Z31" i="18"/>
  <c r="Z32" i="18"/>
  <c r="Z33" i="18"/>
  <c r="Z34" i="18"/>
  <c r="Z35" i="18"/>
  <c r="Z36" i="18"/>
  <c r="Z37" i="18"/>
  <c r="Z38" i="18"/>
  <c r="Z39" i="18"/>
  <c r="Z40" i="18"/>
  <c r="Z41" i="18"/>
  <c r="Z42" i="18"/>
  <c r="Z43" i="18"/>
  <c r="Z44" i="18"/>
  <c r="Z45" i="18"/>
  <c r="Z46" i="18"/>
  <c r="Z47" i="18"/>
  <c r="Z48" i="18"/>
  <c r="Z49" i="18"/>
  <c r="Z50" i="18"/>
  <c r="Z51" i="18"/>
  <c r="Z52" i="18"/>
  <c r="Z53" i="18"/>
  <c r="Z54" i="18"/>
  <c r="Z55" i="18"/>
  <c r="Z56" i="18"/>
  <c r="Z57" i="18"/>
  <c r="Z58" i="18"/>
  <c r="Z59" i="18"/>
  <c r="Z60" i="18"/>
  <c r="Z61" i="18"/>
  <c r="Z62" i="18"/>
  <c r="Z63" i="18"/>
  <c r="Z64" i="18"/>
  <c r="Q5" i="17" s="1"/>
  <c r="Z65" i="18"/>
  <c r="Z66" i="18"/>
  <c r="Z67" i="18"/>
  <c r="Z68" i="18"/>
  <c r="Z69" i="18"/>
  <c r="Z70" i="18"/>
  <c r="Z71" i="18"/>
  <c r="Z72" i="18"/>
  <c r="Z73" i="18"/>
  <c r="Z74" i="18"/>
  <c r="Z75" i="18"/>
  <c r="Z76" i="18"/>
  <c r="Z77" i="18"/>
  <c r="Z78" i="18"/>
  <c r="Z79" i="18"/>
  <c r="Z80" i="18"/>
  <c r="Z81" i="18"/>
  <c r="Z82" i="18"/>
  <c r="Z83" i="18"/>
  <c r="Z84" i="18"/>
  <c r="Z85" i="18"/>
  <c r="Z86" i="18"/>
  <c r="Z87" i="18"/>
  <c r="Z88" i="18"/>
  <c r="Z89" i="18"/>
  <c r="Z90" i="18"/>
  <c r="Z91" i="18"/>
  <c r="Z92" i="18"/>
  <c r="Z93" i="18"/>
  <c r="Z94" i="18"/>
  <c r="Z95" i="18"/>
  <c r="Z96" i="18"/>
  <c r="Z97" i="18"/>
  <c r="Z98" i="18"/>
  <c r="Z99" i="18"/>
  <c r="Z100" i="18"/>
  <c r="Z101" i="18"/>
  <c r="Z102" i="18"/>
  <c r="Z103" i="18"/>
  <c r="Z104" i="18"/>
  <c r="Z105" i="18"/>
  <c r="Z106" i="18"/>
  <c r="Z107" i="18"/>
  <c r="Z108" i="18"/>
  <c r="Z109" i="18"/>
  <c r="Z110" i="18"/>
  <c r="Z111" i="18"/>
  <c r="Z112" i="18"/>
  <c r="Z113" i="18"/>
  <c r="Z114" i="18"/>
  <c r="Z115" i="18"/>
  <c r="Z116" i="18"/>
  <c r="Z117" i="18"/>
  <c r="Z118" i="18"/>
  <c r="Z119" i="18"/>
  <c r="Z120" i="18"/>
  <c r="Z121" i="18"/>
  <c r="Z122" i="18"/>
  <c r="Z123" i="18"/>
  <c r="Z124" i="18"/>
  <c r="Z125" i="18"/>
  <c r="Z126" i="18"/>
  <c r="Z127" i="18"/>
  <c r="Z128" i="18"/>
  <c r="Z129" i="18"/>
  <c r="Z130" i="18"/>
  <c r="Z131" i="18"/>
  <c r="Z132" i="18"/>
  <c r="Z133" i="18"/>
  <c r="Z134" i="18"/>
  <c r="Z135" i="18"/>
  <c r="Z136" i="18"/>
  <c r="Z137" i="18"/>
  <c r="Z138" i="18"/>
  <c r="Z139" i="18"/>
  <c r="Z140" i="18"/>
  <c r="Z141" i="18"/>
  <c r="Z142" i="18"/>
  <c r="Z143" i="18"/>
  <c r="Z144" i="18"/>
  <c r="Z145" i="18"/>
  <c r="Z146" i="18"/>
  <c r="Z147" i="18"/>
  <c r="Z148" i="18"/>
  <c r="Z149" i="18"/>
  <c r="Z150" i="18"/>
  <c r="Z151" i="18"/>
  <c r="Z152" i="18"/>
  <c r="Z153" i="18"/>
  <c r="Z154" i="18"/>
  <c r="Z155" i="18"/>
  <c r="Z156" i="18"/>
  <c r="Z157" i="18"/>
  <c r="Z158" i="18"/>
  <c r="Z159" i="18"/>
  <c r="Z160" i="18"/>
  <c r="Z161" i="18"/>
  <c r="Z162" i="18"/>
  <c r="Z163" i="18"/>
  <c r="Z164" i="18"/>
  <c r="Z165" i="18"/>
  <c r="Z166" i="18"/>
  <c r="Z167" i="18"/>
  <c r="Z168" i="18"/>
  <c r="Z169" i="18"/>
  <c r="Z170" i="18"/>
  <c r="Z171" i="18"/>
  <c r="Z172" i="18"/>
  <c r="Z173" i="18"/>
  <c r="Z174" i="18"/>
  <c r="Z175" i="18"/>
  <c r="Y10" i="17" l="1"/>
  <c r="M9" i="17"/>
  <c r="N8" i="17"/>
  <c r="M8" i="17"/>
  <c r="M6" i="17"/>
  <c r="M10" i="17" s="1"/>
  <c r="N6" i="17"/>
  <c r="C15" i="17"/>
  <c r="N4" i="17"/>
  <c r="M4" i="17"/>
  <c r="G25" i="17" l="1"/>
  <c r="G26" i="17" s="1"/>
  <c r="G27" i="17" s="1"/>
  <c r="C27" i="17"/>
  <c r="C26" i="17"/>
  <c r="C41" i="17"/>
  <c r="C25" i="17"/>
  <c r="C40" i="17"/>
  <c r="AA4" i="17"/>
  <c r="Y4" i="17"/>
  <c r="C30" i="17"/>
  <c r="C31" i="17" l="1"/>
  <c r="E31" i="17"/>
  <c r="B22" i="17"/>
  <c r="B37" i="17"/>
  <c r="Y6" i="17" l="1"/>
  <c r="Y7" i="17" s="1"/>
  <c r="Y9" i="17" l="1"/>
  <c r="C44" i="17"/>
  <c r="F22" i="17"/>
  <c r="I22" i="17" s="1"/>
  <c r="E45" i="17" l="1"/>
  <c r="C45" i="17"/>
  <c r="Y11" i="17"/>
  <c r="AB4" i="17"/>
  <c r="G22" i="17"/>
  <c r="G37" i="17"/>
  <c r="E37" i="17"/>
</calcChain>
</file>

<file path=xl/comments1.xml><?xml version="1.0" encoding="utf-8"?>
<comments xmlns="http://schemas.openxmlformats.org/spreadsheetml/2006/main">
  <authors>
    <author>Lapinskas, Joe</author>
  </authors>
  <commentList>
    <comment ref="C10" authorId="0">
      <text>
        <r>
          <rPr>
            <b/>
            <sz val="9"/>
            <color indexed="81"/>
            <rFont val="Tahoma"/>
            <family val="2"/>
          </rPr>
          <t>Lapinskas, Joe:</t>
        </r>
        <r>
          <rPr>
            <sz val="9"/>
            <color indexed="81"/>
            <rFont val="Tahoma"/>
            <family val="2"/>
          </rPr>
          <t xml:space="preserve">
Measured from source position in direction of primary beam.</t>
        </r>
      </text>
    </comment>
    <comment ref="B11" authorId="0">
      <text>
        <r>
          <rPr>
            <b/>
            <sz val="9"/>
            <color indexed="81"/>
            <rFont val="Tahoma"/>
            <family val="2"/>
          </rPr>
          <t>Sentinel:</t>
        </r>
        <r>
          <rPr>
            <sz val="9"/>
            <color indexed="81"/>
            <rFont val="Tahoma"/>
            <family val="2"/>
          </rPr>
          <t xml:space="preserve">
Enter allowable dose rate at controlled boundary.</t>
        </r>
      </text>
    </comment>
    <comment ref="B13" authorId="0">
      <text>
        <r>
          <rPr>
            <b/>
            <sz val="9"/>
            <color indexed="81"/>
            <rFont val="Tahoma"/>
            <family val="2"/>
          </rPr>
          <t>Sentinel:</t>
        </r>
        <r>
          <rPr>
            <sz val="9"/>
            <color indexed="81"/>
            <rFont val="Tahoma"/>
            <family val="2"/>
          </rPr>
          <t xml:space="preserve">
For isodose calculations.  
Enter 60 minutes if isodose does not apply.</t>
        </r>
      </text>
    </comment>
    <comment ref="B21" authorId="0">
      <text>
        <r>
          <rPr>
            <b/>
            <sz val="9"/>
            <color indexed="81"/>
            <rFont val="Tahoma"/>
            <family val="2"/>
          </rPr>
          <t xml:space="preserve">Sentinel:
</t>
        </r>
        <r>
          <rPr>
            <sz val="9"/>
            <color indexed="81"/>
            <rFont val="Tahoma"/>
            <family val="2"/>
          </rPr>
          <t>HVLs required to reduce primary beam to allowable dose rate at desired distance</t>
        </r>
      </text>
    </comment>
    <comment ref="F21" authorId="0">
      <text>
        <r>
          <rPr>
            <b/>
            <sz val="9"/>
            <color indexed="81"/>
            <rFont val="Tahoma"/>
            <family val="2"/>
          </rPr>
          <t xml:space="preserve">Sentinel:
</t>
        </r>
        <r>
          <rPr>
            <sz val="9"/>
            <color indexed="81"/>
            <rFont val="Tahoma"/>
            <family val="2"/>
          </rPr>
          <t>The pipe itself provides shielding of the primary beam.  
This column takes into consideration the shielding of the primary beam by the pipe itself and calculates the additional lead equivalent required to reduce primary beam to allowable dose rate at the desired distance.</t>
        </r>
      </text>
    </comment>
    <comment ref="G21" authorId="0">
      <text>
        <r>
          <rPr>
            <b/>
            <sz val="9"/>
            <color indexed="81"/>
            <rFont val="Tahoma"/>
            <family val="2"/>
          </rPr>
          <t xml:space="preserve">Sentinel:
</t>
        </r>
        <r>
          <rPr>
            <sz val="9"/>
            <color indexed="81"/>
            <rFont val="Tahoma"/>
            <family val="2"/>
          </rPr>
          <t>Lead equivalent to reduce primary beam to allowable dose rate at desired distance
NOTE: Shielding of primary beam provided by pipe is not taken into consideration here.</t>
        </r>
      </text>
    </comment>
    <comment ref="B36" authorId="0">
      <text>
        <r>
          <rPr>
            <b/>
            <sz val="9"/>
            <color indexed="81"/>
            <rFont val="Tahoma"/>
            <family val="2"/>
          </rPr>
          <t xml:space="preserve">Sentinel:
</t>
        </r>
        <r>
          <rPr>
            <sz val="9"/>
            <color indexed="81"/>
            <rFont val="Tahoma"/>
            <family val="2"/>
          </rPr>
          <t>HVLs required to reduce primary beam to allowable dose rate at desired distance</t>
        </r>
      </text>
    </comment>
    <comment ref="D36" authorId="0">
      <text>
        <r>
          <rPr>
            <b/>
            <sz val="9"/>
            <color indexed="81"/>
            <rFont val="Tahoma"/>
            <family val="2"/>
          </rPr>
          <t xml:space="preserve">Sentinel:
</t>
        </r>
        <r>
          <rPr>
            <sz val="9"/>
            <color indexed="81"/>
            <rFont val="Tahoma"/>
            <family val="2"/>
          </rPr>
          <t>The primary beam width must be larger than the OD of the pipe foruperimposed and elliptical shots.  Therefore the shielding value of the pipe should not be considered in determining backshielding.</t>
        </r>
      </text>
    </comment>
    <comment ref="E36" authorId="0">
      <text>
        <r>
          <rPr>
            <b/>
            <sz val="9"/>
            <color indexed="81"/>
            <rFont val="Tahoma"/>
            <family val="2"/>
          </rPr>
          <t xml:space="preserve">Sentinel:
</t>
        </r>
        <r>
          <rPr>
            <sz val="9"/>
            <color indexed="81"/>
            <rFont val="Tahoma"/>
            <family val="2"/>
          </rPr>
          <t xml:space="preserve">Lead equivalent to reduce primary beam to allowable dose rate at desired distance
NOTE 1: Shielding of primary beam provided by pipe is not taken into consideration here.
NOTE 2: Use this value to determine thickness of lead for masking primary beam.  </t>
        </r>
      </text>
    </comment>
  </commentList>
</comments>
</file>

<file path=xl/sharedStrings.xml><?xml version="1.0" encoding="utf-8"?>
<sst xmlns="http://schemas.openxmlformats.org/spreadsheetml/2006/main" count="326" uniqueCount="270">
  <si>
    <t>mR/h</t>
  </si>
  <si>
    <t>mm</t>
  </si>
  <si>
    <t>Lead (in.)</t>
  </si>
  <si>
    <t>HVL Lead</t>
  </si>
  <si>
    <t>HVL Steel</t>
  </si>
  <si>
    <t>Wall Thickness</t>
  </si>
  <si>
    <t>OD</t>
  </si>
  <si>
    <t>ID</t>
  </si>
  <si>
    <t>1/8 - Sch: 10S</t>
  </si>
  <si>
    <t>1/8 - Sch: 40, Std, 40S</t>
  </si>
  <si>
    <t>1/8 - Sch: 80, XS, 80S</t>
  </si>
  <si>
    <t>1/4 - Sch: 10S</t>
  </si>
  <si>
    <t>1/4 - Sch: 40, Std, 40S</t>
  </si>
  <si>
    <t>1/4 - Sch: 80, XS, 80S</t>
  </si>
  <si>
    <t>3/8 - Sch: 10S</t>
  </si>
  <si>
    <t>3/8 - Sch: 40, Std, 40S</t>
  </si>
  <si>
    <t>3/8 - Sch: 80, XS, 80S</t>
  </si>
  <si>
    <t>1/2 - Sch: 10S</t>
  </si>
  <si>
    <t>1/2 - Sch: 40, Std, 40S</t>
  </si>
  <si>
    <t>1/2 - Sch: 80, XS, 80S</t>
  </si>
  <si>
    <t>1/2 - Sch: 160</t>
  </si>
  <si>
    <t>1/2 - Sch: XXS</t>
  </si>
  <si>
    <t>3/4 - Sch: 5S</t>
  </si>
  <si>
    <t>3/4 - Sch: 10S</t>
  </si>
  <si>
    <t>3/4 - Sch: 40, Std, 40S</t>
  </si>
  <si>
    <t>3/4 - Sch: 80, XS, 80S</t>
  </si>
  <si>
    <t>3/4 - Sch: 160</t>
  </si>
  <si>
    <t>3/4 - Sch: XXS</t>
  </si>
  <si>
    <t>1 - Sch: 5S</t>
  </si>
  <si>
    <t>1 - Sch: 10S</t>
  </si>
  <si>
    <t>1 - Sch: 40, Std, 40S</t>
  </si>
  <si>
    <t>1 - Sch: 80, XS, 80S</t>
  </si>
  <si>
    <t>1 - Sch: 160</t>
  </si>
  <si>
    <t>1 - Sch: XXS</t>
  </si>
  <si>
    <t>1 1/4 - Sch: 5S</t>
  </si>
  <si>
    <t>1 1/4 - Sch: 10S</t>
  </si>
  <si>
    <t>1 1/4 - Sch: 40, Std, 40S</t>
  </si>
  <si>
    <t>1 1/4 - Sch: 80, XS, 80S</t>
  </si>
  <si>
    <t>1 1/4 - Sch: 160</t>
  </si>
  <si>
    <t>1 1/4 - Sch: XXS</t>
  </si>
  <si>
    <t>1 1/2 - Sch: 5S</t>
  </si>
  <si>
    <t>1 1/2 - Sch: 10S</t>
  </si>
  <si>
    <t>1 1/2 - Sch: 40, Std, 40S</t>
  </si>
  <si>
    <t>1 1/2 - Sch: 80, XS, 80S</t>
  </si>
  <si>
    <t>1 1/2 - Sch: 160</t>
  </si>
  <si>
    <t>1 1/2 - Sch: XXS</t>
  </si>
  <si>
    <t>2 - Sch: 5S</t>
  </si>
  <si>
    <t>2 - Sch: 10S</t>
  </si>
  <si>
    <t>2 - Sch: 40, Std, 40S</t>
  </si>
  <si>
    <t>2 - Sch: 80, XS, 80S</t>
  </si>
  <si>
    <t>2 - Sch: 160</t>
  </si>
  <si>
    <t>2 - Sch: XXS</t>
  </si>
  <si>
    <t>2 1/2 - Sch: 5S</t>
  </si>
  <si>
    <t>2 1/2 - Sch: 10S</t>
  </si>
  <si>
    <t>2 1/2 - Sch: 40, Std, 40S</t>
  </si>
  <si>
    <t>2 1/2 - Sch: 80, XS, 80S</t>
  </si>
  <si>
    <t>2 1/2 - Sch: 160</t>
  </si>
  <si>
    <t>2 1/2 - Sch: XXS</t>
  </si>
  <si>
    <t>3 - Sch: 5S</t>
  </si>
  <si>
    <t>3 - Sch: 10S</t>
  </si>
  <si>
    <t>3 - Sch: 40, Std, 40S</t>
  </si>
  <si>
    <t>3 - Sch: 80, XS, 80S</t>
  </si>
  <si>
    <t>3 - Sch: 160</t>
  </si>
  <si>
    <t>3 - Sch: XXS</t>
  </si>
  <si>
    <t>3 1/2 - Sch: 5S</t>
  </si>
  <si>
    <t>3 1/2 - Sch: 10S</t>
  </si>
  <si>
    <t>3 1/2 - Sch: 40, Std, 40S</t>
  </si>
  <si>
    <t>3 1/2 - Sch: 80, XS, 80S</t>
  </si>
  <si>
    <t>4 - Sch: 5S</t>
  </si>
  <si>
    <t>4 - Sch: 10S</t>
  </si>
  <si>
    <t>4 - Sch: 40, Std, 40S</t>
  </si>
  <si>
    <t>4 - Sch: 80, XS, 80S</t>
  </si>
  <si>
    <t>4 - Sch: 120</t>
  </si>
  <si>
    <t>4 - Sch: 160</t>
  </si>
  <si>
    <t>4 - Sch: XXS</t>
  </si>
  <si>
    <t>5 - Sch: 5S</t>
  </si>
  <si>
    <t>5 - Sch: 10S</t>
  </si>
  <si>
    <t>5 - Sch: 40, Std, 40S</t>
  </si>
  <si>
    <t>5 - Sch: 80, XS, 80S</t>
  </si>
  <si>
    <t>5 - Sch: 120</t>
  </si>
  <si>
    <t>5 - Sch: 160</t>
  </si>
  <si>
    <t>5 - Sch: XXS</t>
  </si>
  <si>
    <t>6 - Sch: 5S</t>
  </si>
  <si>
    <t>6 - Sch: 10S</t>
  </si>
  <si>
    <t>6 - Sch: 40, Std, 40S</t>
  </si>
  <si>
    <t>6 - Sch: 80, XS, 80S</t>
  </si>
  <si>
    <t>6 - Sch: 120</t>
  </si>
  <si>
    <t>6 - Sch: 160</t>
  </si>
  <si>
    <t>6 - Sch: XXS</t>
  </si>
  <si>
    <t>8 - Sch: 5S</t>
  </si>
  <si>
    <t>8 - Sch: 10S</t>
  </si>
  <si>
    <t>8 - Sch: 20</t>
  </si>
  <si>
    <t>8 - Sch: 30</t>
  </si>
  <si>
    <t>8 - Sch: 40, Std, 40S</t>
  </si>
  <si>
    <t>8 - Sch: 60</t>
  </si>
  <si>
    <t>8 - Sch: 80, XS, 80S</t>
  </si>
  <si>
    <t>8 - Sch: 100</t>
  </si>
  <si>
    <t>8 - Sch: 120</t>
  </si>
  <si>
    <t>8 - Sch: 140</t>
  </si>
  <si>
    <t>8 - Sch: XXS</t>
  </si>
  <si>
    <t>8 - Sch: 160</t>
  </si>
  <si>
    <t>10 - Sch: 5S</t>
  </si>
  <si>
    <t>10 - Sch: 10S</t>
  </si>
  <si>
    <t>10 - Sch: 20</t>
  </si>
  <si>
    <t>10 - Sch: 30</t>
  </si>
  <si>
    <t>10 - Sch: 40, Std, 40S</t>
  </si>
  <si>
    <t>10 - Sch: 60, XS, 80S</t>
  </si>
  <si>
    <t>10 - Sch: 80</t>
  </si>
  <si>
    <t>10 - Sch: 100</t>
  </si>
  <si>
    <t>10 - Sch: 120</t>
  </si>
  <si>
    <t>10 - Sch: 140</t>
  </si>
  <si>
    <t>10 - Sch: 160</t>
  </si>
  <si>
    <t>12 - Sch: 5S</t>
  </si>
  <si>
    <t>12 - Sch: 10S</t>
  </si>
  <si>
    <t>12 - Sch: 20</t>
  </si>
  <si>
    <t>12 - Sch: 30</t>
  </si>
  <si>
    <t>12 - Sch: Std, 40S</t>
  </si>
  <si>
    <t>12 - Sch: 40</t>
  </si>
  <si>
    <t>12 - Sch: XS, 80S</t>
  </si>
  <si>
    <t>12 - Sch: 60</t>
  </si>
  <si>
    <t>12 - Sch: 80</t>
  </si>
  <si>
    <t>12 - Sch: 100</t>
  </si>
  <si>
    <t>12 - Sch: 120</t>
  </si>
  <si>
    <t>12 - Sch: 140</t>
  </si>
  <si>
    <t>12 - Sch: 160</t>
  </si>
  <si>
    <t>14 - Sch: 10</t>
  </si>
  <si>
    <t>14 - Sch: 20</t>
  </si>
  <si>
    <t>14 - Sch: 30, Std</t>
  </si>
  <si>
    <t>14 - Sch: 40</t>
  </si>
  <si>
    <t>14 - Sch: XS</t>
  </si>
  <si>
    <t>14 - Sch: 60</t>
  </si>
  <si>
    <t>14 - Sch: 80</t>
  </si>
  <si>
    <t>14 - Sch: 100</t>
  </si>
  <si>
    <t>14 - Sch: 120</t>
  </si>
  <si>
    <t>14 - Sch: 140</t>
  </si>
  <si>
    <t>14 - Sch: 160</t>
  </si>
  <si>
    <t>16 - Sch: 10</t>
  </si>
  <si>
    <t>16 - Sch: 20</t>
  </si>
  <si>
    <t>16 - Sch: 30, Std</t>
  </si>
  <si>
    <t>16 - Sch: 40, XS</t>
  </si>
  <si>
    <t>16 - Sch: 60</t>
  </si>
  <si>
    <t>16 - Sch: 80</t>
  </si>
  <si>
    <t>16 - Sch: 100</t>
  </si>
  <si>
    <t>16 - Sch: 120</t>
  </si>
  <si>
    <t>16 - Sch: 140</t>
  </si>
  <si>
    <t>16 - Sch: 160</t>
  </si>
  <si>
    <t>18 - Sch: 10</t>
  </si>
  <si>
    <t>18 - Sch: 20</t>
  </si>
  <si>
    <t>18 - Sch: Std</t>
  </si>
  <si>
    <t>18 - Sch: 30</t>
  </si>
  <si>
    <t>18 - Sch: XS</t>
  </si>
  <si>
    <t>18 - Sch: 40</t>
  </si>
  <si>
    <t>18 - Sch: 60</t>
  </si>
  <si>
    <t>18 - Sch: 80</t>
  </si>
  <si>
    <t>18 - Sch: 100</t>
  </si>
  <si>
    <t>18 - Sch: 120</t>
  </si>
  <si>
    <t>18 - Sch: 140</t>
  </si>
  <si>
    <t>18 - Sch: 160</t>
  </si>
  <si>
    <t>20 - Sch: 10</t>
  </si>
  <si>
    <t>20 - Sch: 20, Std</t>
  </si>
  <si>
    <t>20 - Sch: 30, XS</t>
  </si>
  <si>
    <t>20 - Sch: 40</t>
  </si>
  <si>
    <t>20 - Sch: 60</t>
  </si>
  <si>
    <t>20 - Sch: 80</t>
  </si>
  <si>
    <t>20 - Sch: 100</t>
  </si>
  <si>
    <t>20 - Sch: 120</t>
  </si>
  <si>
    <t>20 - Sch: 140</t>
  </si>
  <si>
    <t>20 - Sch: 160</t>
  </si>
  <si>
    <t xml:space="preserve">24 - Sch: 10 </t>
  </si>
  <si>
    <t>24 - Sch: 20, Std</t>
  </si>
  <si>
    <t>24 - Sch: XS</t>
  </si>
  <si>
    <t>24 - Sch: 30</t>
  </si>
  <si>
    <t>24 - Sch: 40</t>
  </si>
  <si>
    <t>24 - Sch: 60</t>
  </si>
  <si>
    <t>24 - Sch: 80</t>
  </si>
  <si>
    <t>24 - Sch: 100</t>
  </si>
  <si>
    <t>24 - Sch: 120</t>
  </si>
  <si>
    <t>24 - Sch: 140</t>
  </si>
  <si>
    <t>24 - Sch: 160</t>
  </si>
  <si>
    <t>30 - Sch: 10</t>
  </si>
  <si>
    <t>30 - Sch: 20</t>
  </si>
  <si>
    <t>30 - Sch :30</t>
  </si>
  <si>
    <t>Pipe</t>
  </si>
  <si>
    <t>Total</t>
  </si>
  <si>
    <t>-</t>
  </si>
  <si>
    <t>=</t>
  </si>
  <si>
    <t>Backshielding</t>
  </si>
  <si>
    <t>Axial</t>
  </si>
  <si>
    <t>Radial</t>
  </si>
  <si>
    <t>inches</t>
  </si>
  <si>
    <t>Source to source side wall</t>
  </si>
  <si>
    <t>Axial Beam Height</t>
  </si>
  <si>
    <t>Beam Width</t>
  </si>
  <si>
    <t>Nuclear</t>
  </si>
  <si>
    <t>ASME API</t>
  </si>
  <si>
    <t>ASME Heavy Wall</t>
  </si>
  <si>
    <t>Code</t>
  </si>
  <si>
    <t>Ug (in)</t>
  </si>
  <si>
    <t xml:space="preserve">Se75 </t>
  </si>
  <si>
    <t>R/hr/Ci @ 1 ft</t>
  </si>
  <si>
    <t>Ir192</t>
  </si>
  <si>
    <t>Isotope</t>
  </si>
  <si>
    <t>Hourly Exposure Time</t>
  </si>
  <si>
    <t>minutes</t>
  </si>
  <si>
    <t>Isodose Rate</t>
  </si>
  <si>
    <t>GRC</t>
  </si>
  <si>
    <t>TFlex-Bi HVL</t>
  </si>
  <si>
    <t>OR</t>
  </si>
  <si>
    <t>Device</t>
  </si>
  <si>
    <t>Collimation</t>
  </si>
  <si>
    <t>989 (30x60)</t>
  </si>
  <si>
    <t>989 (40x40)</t>
  </si>
  <si>
    <t>959M</t>
  </si>
  <si>
    <t>1075 SCARPro</t>
  </si>
  <si>
    <t>Dose Limit</t>
  </si>
  <si>
    <t>Gamma Constant</t>
  </si>
  <si>
    <t xml:space="preserve">Focal </t>
  </si>
  <si>
    <t>&lt;-check</t>
  </si>
  <si>
    <t>Collimation (deg)</t>
  </si>
  <si>
    <t>User Inputs</t>
  </si>
  <si>
    <t>Beam Dimensions at Film Plane</t>
  </si>
  <si>
    <t>Contact Configuration</t>
  </si>
  <si>
    <t>Mode</t>
  </si>
  <si>
    <t>Contact</t>
  </si>
  <si>
    <t>Offset</t>
  </si>
  <si>
    <t>Offset Configuration - Elliptical &amp; Superimposed</t>
  </si>
  <si>
    <t>ft</t>
  </si>
  <si>
    <t>Distance</t>
  </si>
  <si>
    <t>Pipe Description</t>
  </si>
  <si>
    <t>Wall</t>
  </si>
  <si>
    <t>YES</t>
  </si>
  <si>
    <t>NO</t>
  </si>
  <si>
    <t>Beam Masking (%)</t>
  </si>
  <si>
    <t>Shots Per Weld</t>
  </si>
  <si>
    <t>Backshielding Primary Beam</t>
  </si>
  <si>
    <t>Shot Time</t>
  </si>
  <si>
    <t>Film R Factor</t>
  </si>
  <si>
    <t>Steel HVL</t>
  </si>
  <si>
    <t>Lead HVL</t>
  </si>
  <si>
    <t>seconds</t>
  </si>
  <si>
    <t>↓ Enter Manual STF</t>
  </si>
  <si>
    <t>b</t>
  </si>
  <si>
    <t>w</t>
  </si>
  <si>
    <t>2w</t>
  </si>
  <si>
    <t>arc</t>
  </si>
  <si>
    <t>4 shots</t>
  </si>
  <si>
    <t>overlap</t>
  </si>
  <si>
    <t>each side</t>
  </si>
  <si>
    <t>Arc Length</t>
  </si>
  <si>
    <t>Pipe Schedule or Manual?</t>
  </si>
  <si>
    <t>SCHEDULE</t>
  </si>
  <si>
    <t>MANUAL</t>
  </si>
  <si>
    <t>Pipe Schedule</t>
  </si>
  <si>
    <t>Beam Masking?</t>
  </si>
  <si>
    <t>Min # Shots</t>
  </si>
  <si>
    <t>Shot Overlap</t>
  </si>
  <si>
    <t>Activity</t>
  </si>
  <si>
    <t>Ci</t>
  </si>
  <si>
    <t>Offset Inputs:</t>
  </si>
  <si>
    <t>Drop Down Input</t>
  </si>
  <si>
    <t>Manual input</t>
  </si>
  <si>
    <t>Rad</t>
  </si>
  <si>
    <t>Variables</t>
  </si>
  <si>
    <t>Use Minimum Offet SFD per Code?</t>
  </si>
  <si>
    <t>SFD</t>
  </si>
  <si>
    <t>Isodose (Y/N)</t>
  </si>
  <si>
    <t>Pipe Variables:</t>
  </si>
  <si>
    <t xml:space="preserve"> </t>
  </si>
  <si>
    <t>Offset SFD</t>
  </si>
  <si>
    <t>FlexShield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</si>
</sst>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7" x14ac:knownFonts="1">
    <font>
      <sz val="11"/>
      <color theme="1"/>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sz val="18"/>
      <color rgb="FFC00000"/>
      <name val="Calibri"/>
      <family val="2"/>
      <scheme val="minor"/>
    </font>
    <font>
      <sz val="9"/>
      <color indexed="81"/>
      <name val="Tahoma"/>
      <family val="2"/>
    </font>
    <font>
      <b/>
      <sz val="9"/>
      <color indexed="81"/>
      <name val="Tahoma"/>
      <family val="2"/>
    </font>
    <font>
      <b/>
      <sz val="12"/>
      <color theme="1"/>
      <name val="Calibri"/>
      <family val="2"/>
      <scheme val="minor"/>
    </font>
    <font>
      <i/>
      <sz val="11"/>
      <color theme="1"/>
      <name val="Calibri"/>
      <family val="2"/>
      <scheme val="minor"/>
    </font>
    <font>
      <b/>
      <sz val="16"/>
      <color theme="1"/>
      <name val="Calibri"/>
      <family val="2"/>
      <scheme val="minor"/>
    </font>
    <font>
      <b/>
      <sz val="16"/>
      <color theme="0"/>
      <name val="Calibri"/>
      <family val="2"/>
      <scheme val="minor"/>
    </font>
    <font>
      <sz val="16"/>
      <color theme="1"/>
      <name val="Calibri"/>
      <family val="2"/>
      <scheme val="minor"/>
    </font>
    <font>
      <sz val="11"/>
      <color rgb="FF3F3F76"/>
      <name val="Calibri"/>
      <family val="2"/>
      <scheme val="minor"/>
    </font>
    <font>
      <b/>
      <sz val="11"/>
      <color rgb="FFFA7D00"/>
      <name val="Calibri"/>
      <family val="2"/>
      <scheme val="minor"/>
    </font>
    <font>
      <sz val="11"/>
      <color rgb="FFC00000"/>
      <name val="Calibri"/>
      <family val="2"/>
      <scheme val="minor"/>
    </font>
    <font>
      <sz val="11"/>
      <color theme="1"/>
      <name val="Calibri"/>
      <family val="2"/>
      <scheme val="minor"/>
    </font>
    <font>
      <sz val="11"/>
      <color theme="2" tint="-0.499984740745262"/>
      <name val="Calibri"/>
      <family val="2"/>
      <scheme val="minor"/>
    </font>
    <font>
      <b/>
      <sz val="14"/>
      <color theme="0"/>
      <name val="Calibri"/>
      <family val="2"/>
      <scheme val="minor"/>
    </font>
    <font>
      <sz val="12"/>
      <color theme="1"/>
      <name val="Calibri"/>
      <family val="2"/>
      <scheme val="minor"/>
    </font>
    <font>
      <b/>
      <sz val="11"/>
      <color rgb="FF3F3F76"/>
      <name val="Calibri"/>
      <family val="2"/>
      <scheme val="minor"/>
    </font>
    <font>
      <b/>
      <sz val="11"/>
      <name val="Calibri"/>
      <family val="2"/>
      <scheme val="minor"/>
    </font>
    <font>
      <b/>
      <sz val="14"/>
      <color rgb="FF3F3F76"/>
      <name val="Calibri"/>
      <family val="2"/>
      <scheme val="minor"/>
    </font>
    <font>
      <b/>
      <i/>
      <sz val="11"/>
      <color rgb="FFFF0000"/>
      <name val="Calibri"/>
      <family val="2"/>
      <scheme val="minor"/>
    </font>
    <font>
      <sz val="16"/>
      <color rgb="FFFF0000"/>
      <name val="Calibri"/>
      <family val="2"/>
      <scheme val="minor"/>
    </font>
    <font>
      <sz val="12"/>
      <color rgb="FFFF0000"/>
      <name val="Calibri"/>
      <family val="2"/>
      <scheme val="minor"/>
    </font>
    <font>
      <i/>
      <sz val="11"/>
      <name val="Calibri"/>
      <family val="2"/>
      <scheme val="minor"/>
    </font>
    <font>
      <sz val="11"/>
      <color rgb="FFFF000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theme="6"/>
      </patternFill>
    </fill>
    <fill>
      <patternFill patternType="solid">
        <fgColor rgb="FFFF000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style="thin">
        <color rgb="FF7F7F7F"/>
      </right>
      <top style="medium">
        <color indexed="64"/>
      </top>
      <bottom style="medium">
        <color indexed="64"/>
      </bottom>
      <diagonal/>
    </border>
    <border>
      <left style="thin">
        <color rgb="FF7F7F7F"/>
      </left>
      <right style="medium">
        <color indexed="64"/>
      </right>
      <top style="medium">
        <color indexed="64"/>
      </top>
      <bottom style="medium">
        <color indexed="64"/>
      </bottom>
      <diagonal/>
    </border>
    <border>
      <left style="thin">
        <color rgb="FF7F7F7F"/>
      </left>
      <right style="thin">
        <color rgb="FF7F7F7F"/>
      </right>
      <top/>
      <bottom style="thin">
        <color rgb="FF7F7F7F"/>
      </bottom>
      <diagonal/>
    </border>
    <border>
      <left style="thin">
        <color rgb="FF7F7F7F"/>
      </left>
      <right style="medium">
        <color indexed="64"/>
      </right>
      <top style="thin">
        <color rgb="FF7F7F7F"/>
      </top>
      <bottom/>
      <diagonal/>
    </border>
  </borders>
  <cellStyleXfs count="5">
    <xf numFmtId="0" fontId="0" fillId="0" borderId="0"/>
    <xf numFmtId="0" fontId="12" fillId="5" borderId="15" applyNumberFormat="0" applyAlignment="0" applyProtection="0"/>
    <xf numFmtId="0" fontId="13" fillId="6" borderId="15" applyNumberFormat="0" applyAlignment="0" applyProtection="0"/>
    <xf numFmtId="9" fontId="15" fillId="0" borderId="0" applyFont="0" applyFill="0" applyBorder="0" applyAlignment="0" applyProtection="0"/>
    <xf numFmtId="0" fontId="2" fillId="7" borderId="0" applyNumberFormat="0" applyBorder="0" applyAlignment="0" applyProtection="0"/>
  </cellStyleXfs>
  <cellXfs count="133">
    <xf numFmtId="0" fontId="0" fillId="0" borderId="0" xfId="0"/>
    <xf numFmtId="0" fontId="0" fillId="0" borderId="3" xfId="0" applyBorder="1"/>
    <xf numFmtId="0" fontId="0" fillId="0" borderId="4" xfId="0" applyBorder="1"/>
    <xf numFmtId="0" fontId="0" fillId="0" borderId="0" xfId="0" applyNumberFormat="1"/>
    <xf numFmtId="165" fontId="0" fillId="0" borderId="0" xfId="0" applyNumberFormat="1"/>
    <xf numFmtId="2" fontId="0" fillId="0" borderId="0" xfId="0" applyNumberFormat="1"/>
    <xf numFmtId="0" fontId="0" fillId="0" borderId="0" xfId="0" applyAlignment="1">
      <alignment vertical="center"/>
    </xf>
    <xf numFmtId="0" fontId="3" fillId="0" borderId="0" xfId="0" applyFont="1" applyAlignment="1">
      <alignment horizontal="center" vertical="center"/>
    </xf>
    <xf numFmtId="0" fontId="1" fillId="0" borderId="1" xfId="0" applyFont="1" applyBorder="1" applyAlignment="1">
      <alignment horizontal="center" vertical="center"/>
    </xf>
    <xf numFmtId="2" fontId="4" fillId="0" borderId="0" xfId="0" applyNumberFormat="1" applyFont="1" applyBorder="1" applyAlignment="1">
      <alignment horizontal="center" vertical="center"/>
    </xf>
    <xf numFmtId="0" fontId="0" fillId="0" borderId="0" xfId="0" applyAlignment="1">
      <alignment horizontal="center"/>
    </xf>
    <xf numFmtId="0" fontId="0" fillId="0" borderId="0" xfId="0" applyFont="1" applyAlignment="1">
      <alignment vertical="center"/>
    </xf>
    <xf numFmtId="0" fontId="0" fillId="0" borderId="0" xfId="0" applyAlignment="1">
      <alignment horizontal="center"/>
    </xf>
    <xf numFmtId="0" fontId="0" fillId="0" borderId="12" xfId="0" applyFill="1" applyBorder="1" applyAlignment="1">
      <alignment horizontal="left" vertical="center"/>
    </xf>
    <xf numFmtId="2" fontId="14" fillId="0" borderId="0" xfId="0" applyNumberFormat="1" applyFont="1" applyBorder="1" applyAlignment="1">
      <alignment horizontal="center" vertical="center"/>
    </xf>
    <xf numFmtId="0" fontId="1" fillId="0" borderId="14" xfId="0" applyFont="1" applyFill="1" applyBorder="1" applyAlignment="1">
      <alignment horizontal="center" vertical="center"/>
    </xf>
    <xf numFmtId="0" fontId="1" fillId="4" borderId="10"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8" fillId="4" borderId="10" xfId="0" applyFont="1" applyFill="1" applyBorder="1" applyAlignment="1">
      <alignment horizontal="center" vertical="center"/>
    </xf>
    <xf numFmtId="0" fontId="8" fillId="4" borderId="12" xfId="0" applyFont="1" applyFill="1" applyBorder="1" applyAlignment="1">
      <alignment horizontal="center" vertical="center"/>
    </xf>
    <xf numFmtId="164" fontId="9" fillId="0" borderId="9" xfId="0" applyNumberFormat="1" applyFont="1" applyFill="1" applyBorder="1" applyAlignment="1">
      <alignment horizontal="center" vertical="center"/>
    </xf>
    <xf numFmtId="164" fontId="9" fillId="0" borderId="14" xfId="0" applyNumberFormat="1" applyFont="1" applyFill="1" applyBorder="1" applyAlignment="1">
      <alignment horizontal="center" vertical="center"/>
    </xf>
    <xf numFmtId="2" fontId="8" fillId="0" borderId="8" xfId="0" applyNumberFormat="1" applyFont="1" applyFill="1" applyBorder="1" applyAlignment="1">
      <alignment horizontal="center" vertical="center"/>
    </xf>
    <xf numFmtId="0" fontId="16" fillId="0" borderId="0" xfId="0" applyFont="1" applyAlignment="1">
      <alignment horizontal="left" vertical="center"/>
    </xf>
    <xf numFmtId="0" fontId="11" fillId="4" borderId="9" xfId="0" applyFont="1" applyFill="1" applyBorder="1" applyAlignment="1">
      <alignment horizontal="left" vertical="center"/>
    </xf>
    <xf numFmtId="0" fontId="11" fillId="4" borderId="4" xfId="0" applyFont="1" applyFill="1" applyBorder="1" applyAlignment="1">
      <alignment horizontal="left" vertical="center"/>
    </xf>
    <xf numFmtId="0" fontId="17" fillId="7" borderId="0" xfId="4" applyFont="1" applyAlignment="1">
      <alignment vertical="center"/>
    </xf>
    <xf numFmtId="0" fontId="0" fillId="0" borderId="1" xfId="0" applyFill="1" applyBorder="1" applyAlignment="1">
      <alignment horizontal="left" vertical="center"/>
    </xf>
    <xf numFmtId="0" fontId="1" fillId="0" borderId="1" xfId="0" applyFont="1" applyFill="1" applyBorder="1" applyAlignment="1">
      <alignment horizontal="left" vertical="center" wrapText="1"/>
    </xf>
    <xf numFmtId="0" fontId="0" fillId="0" borderId="9" xfId="0" applyFill="1" applyBorder="1" applyAlignment="1">
      <alignment horizontal="left" vertical="center"/>
    </xf>
    <xf numFmtId="0" fontId="11" fillId="4" borderId="9" xfId="0" applyFont="1" applyFill="1" applyBorder="1" applyAlignment="1">
      <alignment vertical="center"/>
    </xf>
    <xf numFmtId="0" fontId="11" fillId="4" borderId="4" xfId="0" applyFont="1" applyFill="1" applyBorder="1" applyAlignment="1">
      <alignment vertical="center"/>
    </xf>
    <xf numFmtId="0" fontId="18" fillId="4" borderId="2" xfId="0" applyFont="1" applyFill="1" applyBorder="1" applyAlignment="1">
      <alignment vertical="center"/>
    </xf>
    <xf numFmtId="0" fontId="18" fillId="4" borderId="7" xfId="0" applyFont="1" applyFill="1" applyBorder="1" applyAlignment="1">
      <alignment vertical="center"/>
    </xf>
    <xf numFmtId="0" fontId="18" fillId="0" borderId="2" xfId="0" applyFont="1" applyBorder="1"/>
    <xf numFmtId="0" fontId="11" fillId="0" borderId="3" xfId="0" applyFont="1" applyBorder="1"/>
    <xf numFmtId="0" fontId="11" fillId="0" borderId="4" xfId="0" applyFont="1" applyBorder="1"/>
    <xf numFmtId="0" fontId="10" fillId="3" borderId="5" xfId="0" applyFont="1" applyFill="1" applyBorder="1" applyAlignment="1">
      <alignment horizontal="left" vertical="center"/>
    </xf>
    <xf numFmtId="0" fontId="10" fillId="3" borderId="0" xfId="0" applyFont="1" applyFill="1" applyBorder="1" applyAlignment="1">
      <alignment horizontal="left" vertical="center"/>
    </xf>
    <xf numFmtId="0" fontId="1" fillId="0" borderId="13" xfId="0" applyFont="1" applyBorder="1" applyAlignment="1">
      <alignment horizontal="left" vertical="center"/>
    </xf>
    <xf numFmtId="0" fontId="0" fillId="0" borderId="0" xfId="0" applyAlignment="1">
      <alignment horizontal="center"/>
    </xf>
    <xf numFmtId="2" fontId="0" fillId="0" borderId="0" xfId="0" applyNumberFormat="1" applyAlignment="1">
      <alignment vertical="center"/>
    </xf>
    <xf numFmtId="0" fontId="10" fillId="3" borderId="5" xfId="0" applyFont="1" applyFill="1" applyBorder="1" applyAlignment="1">
      <alignment horizontal="left" vertical="center"/>
    </xf>
    <xf numFmtId="0" fontId="10" fillId="3" borderId="0" xfId="0" applyFont="1" applyFill="1" applyBorder="1" applyAlignment="1">
      <alignment horizontal="left" vertical="center"/>
    </xf>
    <xf numFmtId="164" fontId="11" fillId="4" borderId="3" xfId="0" applyNumberFormat="1" applyFont="1" applyFill="1" applyBorder="1" applyAlignment="1">
      <alignment horizontal="center" vertical="center"/>
    </xf>
    <xf numFmtId="164" fontId="11" fillId="4" borderId="8" xfId="0" applyNumberFormat="1" applyFont="1" applyFill="1" applyBorder="1" applyAlignment="1">
      <alignment horizontal="center" vertical="center"/>
    </xf>
    <xf numFmtId="0" fontId="11" fillId="0" borderId="3" xfId="0" applyFont="1" applyBorder="1" applyAlignment="1">
      <alignment horizontal="center"/>
    </xf>
    <xf numFmtId="0" fontId="18" fillId="4" borderId="5" xfId="0" applyFont="1" applyFill="1" applyBorder="1" applyAlignment="1">
      <alignment vertical="center"/>
    </xf>
    <xf numFmtId="164" fontId="11" fillId="4" borderId="0" xfId="0" applyNumberFormat="1" applyFont="1" applyFill="1" applyBorder="1" applyAlignment="1">
      <alignment horizontal="center" vertical="center"/>
    </xf>
    <xf numFmtId="0" fontId="11" fillId="4" borderId="6" xfId="0" applyFont="1" applyFill="1" applyBorder="1" applyAlignment="1">
      <alignment vertical="center"/>
    </xf>
    <xf numFmtId="2" fontId="16" fillId="0" borderId="0" xfId="0" applyNumberFormat="1" applyFont="1" applyBorder="1" applyAlignment="1">
      <alignment horizontal="center" vertical="center"/>
    </xf>
    <xf numFmtId="0" fontId="16" fillId="0" borderId="6" xfId="0" applyFont="1" applyBorder="1" applyAlignment="1">
      <alignment horizontal="left" vertical="center"/>
    </xf>
    <xf numFmtId="0" fontId="0" fillId="0" borderId="14" xfId="0" applyBorder="1" applyAlignment="1">
      <alignment horizontal="center"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2" fontId="3" fillId="0" borderId="11" xfId="0" applyNumberFormat="1" applyFont="1" applyBorder="1" applyAlignment="1">
      <alignment horizontal="center" vertical="center"/>
    </xf>
    <xf numFmtId="164" fontId="0" fillId="0" borderId="1" xfId="0" applyNumberFormat="1" applyFill="1" applyBorder="1" applyAlignment="1" applyProtection="1">
      <alignment horizontal="left" vertical="center"/>
      <protection locked="0"/>
    </xf>
    <xf numFmtId="0" fontId="0" fillId="0" borderId="0" xfId="0" applyProtection="1"/>
    <xf numFmtId="0" fontId="1" fillId="0" borderId="10" xfId="0" applyFont="1" applyFill="1" applyBorder="1" applyAlignment="1" applyProtection="1">
      <alignment horizontal="left" vertical="center"/>
    </xf>
    <xf numFmtId="0" fontId="13" fillId="6" borderId="1" xfId="2" applyBorder="1" applyAlignment="1" applyProtection="1">
      <alignment horizontal="center" vertical="center"/>
    </xf>
    <xf numFmtId="0" fontId="0" fillId="0" borderId="1" xfId="0" applyFill="1" applyBorder="1" applyAlignment="1" applyProtection="1">
      <alignment horizontal="left" vertical="center"/>
    </xf>
    <xf numFmtId="0" fontId="0" fillId="0" borderId="0" xfId="0" applyAlignment="1" applyProtection="1">
      <alignment vertical="center"/>
    </xf>
    <xf numFmtId="0" fontId="1" fillId="0" borderId="10" xfId="0" applyFont="1" applyFill="1" applyBorder="1" applyAlignment="1" applyProtection="1">
      <alignment horizontal="left" vertical="center" wrapText="1"/>
    </xf>
    <xf numFmtId="0" fontId="0" fillId="0" borderId="1" xfId="0" applyFill="1" applyBorder="1" applyAlignment="1" applyProtection="1">
      <alignment vertical="center"/>
    </xf>
    <xf numFmtId="0" fontId="0" fillId="0" borderId="1" xfId="0" applyBorder="1" applyAlignment="1" applyProtection="1">
      <alignment horizontal="center" vertical="center"/>
    </xf>
    <xf numFmtId="0" fontId="1" fillId="0" borderId="7" xfId="0" applyFont="1" applyFill="1" applyBorder="1" applyAlignment="1" applyProtection="1">
      <alignment horizontal="left" vertical="center" wrapText="1"/>
    </xf>
    <xf numFmtId="0" fontId="13" fillId="6" borderId="1" xfId="2" applyBorder="1" applyAlignment="1" applyProtection="1">
      <alignment horizontal="center" vertical="center" wrapText="1"/>
    </xf>
    <xf numFmtId="164" fontId="13" fillId="6" borderId="1" xfId="2" applyNumberFormat="1" applyBorder="1" applyAlignment="1" applyProtection="1">
      <alignment horizontal="center" vertical="center"/>
    </xf>
    <xf numFmtId="164" fontId="1" fillId="2" borderId="1" xfId="0" applyNumberFormat="1"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165" fontId="1" fillId="2" borderId="1" xfId="0" applyNumberFormat="1" applyFont="1" applyFill="1" applyBorder="1" applyAlignment="1" applyProtection="1">
      <alignment horizontal="center" vertical="center"/>
      <protection locked="0"/>
    </xf>
    <xf numFmtId="0" fontId="19" fillId="5" borderId="1" xfId="1" applyFont="1" applyBorder="1" applyAlignment="1" applyProtection="1">
      <alignment horizontal="center" vertical="center"/>
      <protection locked="0"/>
    </xf>
    <xf numFmtId="9" fontId="20" fillId="2" borderId="1" xfId="3" applyFont="1" applyFill="1" applyBorder="1" applyAlignment="1" applyProtection="1">
      <alignment horizontal="center" vertical="center"/>
      <protection locked="0"/>
    </xf>
    <xf numFmtId="164" fontId="20" fillId="2" borderId="1" xfId="3" applyNumberFormat="1" applyFont="1" applyFill="1" applyBorder="1" applyAlignment="1" applyProtection="1">
      <alignment horizontal="center" vertical="center"/>
      <protection locked="0"/>
    </xf>
    <xf numFmtId="0" fontId="17" fillId="7" borderId="8" xfId="4" applyFont="1" applyBorder="1" applyAlignment="1">
      <alignment vertical="center"/>
    </xf>
    <xf numFmtId="164" fontId="9" fillId="0" borderId="7" xfId="0" applyNumberFormat="1" applyFont="1" applyFill="1" applyBorder="1" applyAlignment="1">
      <alignment horizontal="center" vertical="center"/>
    </xf>
    <xf numFmtId="0" fontId="0" fillId="0" borderId="14" xfId="0" applyBorder="1" applyAlignment="1">
      <alignment vertical="center"/>
    </xf>
    <xf numFmtId="0" fontId="7" fillId="2" borderId="1" xfId="0" applyFont="1" applyFill="1" applyBorder="1" applyAlignment="1">
      <alignment horizontal="center" vertical="center"/>
    </xf>
    <xf numFmtId="0" fontId="19" fillId="5" borderId="1" xfId="1" applyFont="1" applyBorder="1" applyAlignment="1">
      <alignment horizontal="center" vertical="center"/>
    </xf>
    <xf numFmtId="0" fontId="21" fillId="2" borderId="1" xfId="1" applyFont="1" applyFill="1" applyBorder="1" applyAlignment="1" applyProtection="1">
      <alignment horizontal="center" vertical="center"/>
      <protection locked="0"/>
    </xf>
    <xf numFmtId="0" fontId="1" fillId="0" borderId="7" xfId="0" applyFont="1" applyFill="1" applyBorder="1" applyAlignment="1">
      <alignment horizontal="left" vertical="center" wrapText="1"/>
    </xf>
    <xf numFmtId="0" fontId="1" fillId="0" borderId="0" xfId="0" applyFont="1" applyBorder="1" applyAlignment="1">
      <alignment horizontal="left" vertical="center" wrapText="1"/>
    </xf>
    <xf numFmtId="0" fontId="1" fillId="0" borderId="2" xfId="0" applyFont="1" applyFill="1" applyBorder="1" applyAlignment="1">
      <alignment vertical="center" wrapText="1"/>
    </xf>
    <xf numFmtId="0" fontId="1" fillId="0" borderId="7" xfId="0" applyFont="1" applyFill="1" applyBorder="1" applyAlignment="1">
      <alignment vertical="center" wrapText="1"/>
    </xf>
    <xf numFmtId="0" fontId="1" fillId="0" borderId="13" xfId="0" applyFont="1" applyFill="1" applyBorder="1" applyAlignment="1">
      <alignment horizontal="center" vertical="center"/>
    </xf>
    <xf numFmtId="165" fontId="0" fillId="0" borderId="0" xfId="0" applyNumberFormat="1" applyAlignment="1">
      <alignment horizontal="right"/>
    </xf>
    <xf numFmtId="1" fontId="22" fillId="0" borderId="9" xfId="0" applyNumberFormat="1" applyFont="1" applyFill="1" applyBorder="1" applyAlignment="1">
      <alignment horizontal="center" vertical="center"/>
    </xf>
    <xf numFmtId="164" fontId="23" fillId="4" borderId="3" xfId="0" applyNumberFormat="1" applyFont="1" applyFill="1" applyBorder="1" applyAlignment="1">
      <alignment horizontal="center" vertical="center"/>
    </xf>
    <xf numFmtId="0" fontId="24" fillId="0" borderId="7" xfId="0" applyFont="1" applyBorder="1"/>
    <xf numFmtId="0" fontId="23" fillId="0" borderId="8" xfId="0" applyFont="1" applyBorder="1" applyAlignment="1">
      <alignment horizontal="center"/>
    </xf>
    <xf numFmtId="0" fontId="23" fillId="0" borderId="8" xfId="0" applyFont="1" applyBorder="1"/>
    <xf numFmtId="164" fontId="23" fillId="4" borderId="0" xfId="0" applyNumberFormat="1" applyFont="1" applyFill="1" applyBorder="1" applyAlignment="1">
      <alignment horizontal="center" vertical="center"/>
    </xf>
    <xf numFmtId="0" fontId="25" fillId="4" borderId="10" xfId="0" applyFont="1" applyFill="1" applyBorder="1" applyAlignment="1">
      <alignment horizontal="center" vertical="center"/>
    </xf>
    <xf numFmtId="2" fontId="25" fillId="0" borderId="8" xfId="0" applyNumberFormat="1" applyFont="1" applyFill="1" applyBorder="1" applyAlignment="1">
      <alignment horizontal="center" vertical="center"/>
    </xf>
    <xf numFmtId="0" fontId="25" fillId="4" borderId="12" xfId="0" applyFont="1" applyFill="1" applyBorder="1" applyAlignment="1">
      <alignment horizontal="center" vertical="center"/>
    </xf>
    <xf numFmtId="164" fontId="23" fillId="4" borderId="8" xfId="0" applyNumberFormat="1" applyFont="1" applyFill="1" applyBorder="1" applyAlignment="1">
      <alignment horizontal="center" vertical="center"/>
    </xf>
    <xf numFmtId="0" fontId="23" fillId="0" borderId="8" xfId="0" applyFont="1" applyBorder="1" applyAlignment="1">
      <alignment horizontal="center" vertical="center"/>
    </xf>
    <xf numFmtId="0" fontId="23" fillId="0" borderId="9" xfId="0" applyFont="1" applyBorder="1"/>
    <xf numFmtId="0" fontId="19" fillId="5" borderId="12" xfId="1" applyFont="1" applyBorder="1" applyAlignment="1" applyProtection="1">
      <alignment horizontal="left" vertical="center"/>
    </xf>
    <xf numFmtId="0" fontId="26" fillId="8" borderId="0" xfId="0" applyFont="1" applyFill="1" applyAlignment="1">
      <alignment vertical="center"/>
    </xf>
    <xf numFmtId="0" fontId="26" fillId="8" borderId="0" xfId="0" applyFont="1" applyFill="1"/>
    <xf numFmtId="0" fontId="0" fillId="8" borderId="0" xfId="0" applyFill="1" applyAlignment="1">
      <alignment vertical="center"/>
    </xf>
    <xf numFmtId="0" fontId="0" fillId="8" borderId="0" xfId="0" applyFill="1"/>
    <xf numFmtId="0" fontId="3" fillId="8" borderId="0" xfId="0" applyFont="1" applyFill="1" applyAlignment="1">
      <alignment horizontal="center" vertical="center"/>
    </xf>
    <xf numFmtId="0" fontId="1" fillId="0" borderId="13" xfId="0" applyFont="1" applyBorder="1" applyAlignment="1" applyProtection="1">
      <alignment horizontal="left" vertical="center"/>
    </xf>
    <xf numFmtId="0" fontId="1" fillId="0" borderId="14" xfId="0" applyFont="1" applyBorder="1" applyAlignment="1" applyProtection="1">
      <alignment horizontal="left" vertical="center"/>
    </xf>
    <xf numFmtId="2" fontId="3" fillId="0" borderId="13" xfId="0" applyNumberFormat="1" applyFont="1" applyBorder="1" applyAlignment="1">
      <alignment horizontal="center" vertical="center"/>
    </xf>
    <xf numFmtId="2" fontId="3" fillId="0" borderId="14" xfId="0" applyNumberFormat="1" applyFont="1" applyBorder="1" applyAlignment="1">
      <alignment horizontal="center" vertical="center"/>
    </xf>
    <xf numFmtId="0" fontId="19" fillId="5" borderId="10" xfId="1" applyFont="1" applyBorder="1" applyAlignment="1" applyProtection="1">
      <alignment horizontal="center" vertical="center"/>
      <protection locked="0"/>
    </xf>
    <xf numFmtId="0" fontId="19" fillId="5" borderId="12" xfId="1" applyFont="1" applyBorder="1" applyAlignment="1" applyProtection="1">
      <alignment horizontal="center" vertical="center"/>
      <protection locked="0"/>
    </xf>
    <xf numFmtId="0" fontId="0" fillId="0" borderId="13" xfId="0" applyFill="1" applyBorder="1" applyAlignment="1">
      <alignment horizontal="left" vertical="center"/>
    </xf>
    <xf numFmtId="0" fontId="0" fillId="0" borderId="14" xfId="0" applyFill="1" applyBorder="1" applyAlignment="1">
      <alignment horizontal="lef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164" fontId="19" fillId="5" borderId="10" xfId="1" applyNumberFormat="1" applyFont="1" applyBorder="1" applyAlignment="1" applyProtection="1">
      <alignment horizontal="center" vertical="center"/>
      <protection locked="0"/>
    </xf>
    <xf numFmtId="164" fontId="19" fillId="5" borderId="12" xfId="1" applyNumberFormat="1" applyFont="1" applyBorder="1" applyAlignment="1" applyProtection="1">
      <alignment horizontal="center" vertical="center"/>
      <protection locked="0"/>
    </xf>
    <xf numFmtId="0" fontId="19" fillId="5" borderId="16" xfId="1" applyFont="1" applyBorder="1" applyAlignment="1" applyProtection="1">
      <alignment horizontal="center" vertical="center"/>
      <protection locked="0"/>
    </xf>
    <xf numFmtId="0" fontId="19" fillId="5" borderId="17" xfId="1" applyFont="1" applyBorder="1" applyAlignment="1" applyProtection="1">
      <alignment horizontal="center" vertical="center"/>
      <protection locked="0"/>
    </xf>
    <xf numFmtId="164" fontId="12" fillId="5" borderId="18" xfId="1" applyNumberFormat="1" applyBorder="1" applyAlignment="1" applyProtection="1">
      <alignment horizontal="center" vertical="center"/>
      <protection locked="0"/>
    </xf>
    <xf numFmtId="164" fontId="12" fillId="5" borderId="19" xfId="1" applyNumberFormat="1" applyBorder="1" applyAlignment="1" applyProtection="1">
      <alignment horizontal="center" vertical="center"/>
      <protection locked="0"/>
    </xf>
    <xf numFmtId="0" fontId="1" fillId="4" borderId="13" xfId="0" quotePrefix="1" applyFont="1" applyFill="1" applyBorder="1" applyAlignment="1">
      <alignment horizontal="center" vertical="center" wrapText="1"/>
    </xf>
    <xf numFmtId="0" fontId="1" fillId="4" borderId="14" xfId="0" quotePrefix="1" applyFont="1" applyFill="1" applyBorder="1" applyAlignment="1">
      <alignment horizontal="center" vertical="center" wrapText="1"/>
    </xf>
    <xf numFmtId="0" fontId="3" fillId="4" borderId="13" xfId="0" quotePrefix="1" applyFont="1" applyFill="1" applyBorder="1" applyAlignment="1">
      <alignment horizontal="center" vertical="center" wrapText="1"/>
    </xf>
    <xf numFmtId="0" fontId="3" fillId="4" borderId="14" xfId="0" quotePrefix="1" applyFont="1" applyFill="1" applyBorder="1" applyAlignment="1">
      <alignment horizontal="center" vertical="center" wrapText="1"/>
    </xf>
    <xf numFmtId="0" fontId="17" fillId="7" borderId="8" xfId="4" applyFont="1" applyBorder="1" applyAlignment="1">
      <alignment horizontal="left" vertical="center"/>
    </xf>
    <xf numFmtId="0" fontId="1" fillId="0" borderId="13"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0" fillId="0" borderId="1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0" xfId="0" applyAlignment="1">
      <alignment horizontal="center"/>
    </xf>
  </cellXfs>
  <cellStyles count="5">
    <cellStyle name="Accent3" xfId="4" builtinId="37"/>
    <cellStyle name="Calculation" xfId="2" builtinId="22"/>
    <cellStyle name="Input" xfId="1" builtinId="20"/>
    <cellStyle name="Normal" xfId="0" builtinId="0"/>
    <cellStyle name="Percent" xfId="3" builtinId="5"/>
  </cellStyles>
  <dxfs count="8">
    <dxf>
      <font>
        <color theme="1" tint="0.499984740745262"/>
      </font>
      <fill>
        <patternFill>
          <bgColor theme="1" tint="0.499984740745262"/>
        </patternFill>
      </fill>
      <border>
        <left/>
        <right/>
        <top/>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border>
    </dxf>
    <dxf>
      <font>
        <color theme="1" tint="0.499984740745262"/>
      </font>
      <fill>
        <patternFill>
          <bgColor theme="1" tint="0.499984740745262"/>
        </patternFill>
      </fill>
      <border>
        <left/>
        <right/>
        <top/>
        <bottom/>
      </border>
    </dxf>
    <dxf>
      <font>
        <color theme="1" tint="0.499984740745262"/>
      </font>
      <fill>
        <patternFill>
          <bgColor theme="1" tint="0.499984740745262"/>
        </patternFill>
      </fill>
    </dxf>
    <dxf>
      <font>
        <color theme="1" tint="0.499984740745262"/>
      </font>
      <fill>
        <patternFill>
          <bgColor theme="1" tint="0.499984740745262"/>
        </patternFill>
      </fill>
      <border>
        <left/>
        <right/>
        <top/>
        <bottom/>
      </border>
    </dxf>
    <dxf>
      <font>
        <color theme="1" tint="0.499984740745262"/>
      </font>
      <fill>
        <patternFill>
          <bgColor theme="1" tint="0.499984740745262"/>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53"/>
  <sheetViews>
    <sheetView tabSelected="1" zoomScale="90" zoomScaleNormal="90" workbookViewId="0">
      <selection activeCell="C9" sqref="C9:D9"/>
    </sheetView>
  </sheetViews>
  <sheetFormatPr defaultColWidth="8.77734375" defaultRowHeight="14.4" outlineLevelRow="1" outlineLevelCol="1" x14ac:dyDescent="0.3"/>
  <cols>
    <col min="1" max="1" width="9" style="6" customWidth="1"/>
    <col min="2" max="2" width="19.5546875" style="6" bestFit="1" customWidth="1"/>
    <col min="3" max="3" width="11.33203125" style="6" bestFit="1" customWidth="1"/>
    <col min="4" max="4" width="12.77734375" style="6" bestFit="1" customWidth="1"/>
    <col min="5" max="5" width="12.44140625" style="6" bestFit="1" customWidth="1"/>
    <col min="6" max="6" width="16.21875" style="6" customWidth="1"/>
    <col min="7" max="7" width="15.77734375" style="6" bestFit="1" customWidth="1"/>
    <col min="8" max="8" width="15.44140625" style="6" bestFit="1" customWidth="1"/>
    <col min="9" max="9" width="9.77734375" style="6" bestFit="1" customWidth="1"/>
    <col min="10" max="10" width="9.77734375" bestFit="1" customWidth="1"/>
    <col min="11" max="11" width="9.21875" style="6" bestFit="1" customWidth="1"/>
    <col min="12" max="12" width="22.5546875" style="11" customWidth="1" outlineLevel="1"/>
    <col min="13" max="13" width="5.88671875" style="6" customWidth="1" outlineLevel="1"/>
    <col min="14" max="14" width="12.33203125" customWidth="1" outlineLevel="1"/>
    <col min="15" max="15" width="8.77734375" customWidth="1" outlineLevel="1"/>
    <col min="16" max="16" width="13.77734375" customWidth="1" outlineLevel="1"/>
    <col min="17" max="17" width="5.77734375" customWidth="1" outlineLevel="1"/>
    <col min="18" max="18" width="6.109375" customWidth="1" outlineLevel="1"/>
    <col min="19" max="19" width="8.77734375" style="6" customWidth="1" outlineLevel="1"/>
    <col min="20" max="23" width="8.77734375" style="6"/>
    <col min="24" max="28" width="8.77734375" style="6" hidden="1" customWidth="1"/>
    <col min="29" max="16384" width="8.77734375" style="6"/>
  </cols>
  <sheetData>
    <row r="1" spans="1:28" x14ac:dyDescent="0.3">
      <c r="A1" s="101"/>
      <c r="B1" s="101"/>
      <c r="C1" s="101"/>
      <c r="D1" s="101"/>
      <c r="E1" s="101"/>
      <c r="F1" s="101"/>
      <c r="G1" s="101"/>
      <c r="H1" s="101"/>
      <c r="I1" s="101"/>
      <c r="J1" s="102"/>
    </row>
    <row r="2" spans="1:28" ht="21.45" customHeight="1" thickBot="1" x14ac:dyDescent="0.35">
      <c r="A2" s="103"/>
      <c r="B2" s="39" t="s">
        <v>219</v>
      </c>
      <c r="C2" s="40"/>
      <c r="D2" s="40"/>
      <c r="E2" s="40"/>
      <c r="F2" s="40"/>
      <c r="G2" s="40"/>
      <c r="H2" s="40"/>
      <c r="I2" s="40"/>
      <c r="J2" s="104"/>
      <c r="K2"/>
      <c r="L2" s="39" t="s">
        <v>262</v>
      </c>
      <c r="M2" s="40"/>
      <c r="N2" s="40"/>
      <c r="O2" s="40"/>
      <c r="P2" s="40"/>
      <c r="Q2" s="40"/>
      <c r="R2" s="40"/>
      <c r="S2" s="40"/>
    </row>
    <row r="3" spans="1:28" ht="15.75" customHeight="1" thickBot="1" x14ac:dyDescent="0.35">
      <c r="A3" s="103"/>
      <c r="B3" s="79" t="s">
        <v>260</v>
      </c>
      <c r="C3"/>
      <c r="D3"/>
      <c r="F3" s="55" t="s">
        <v>249</v>
      </c>
      <c r="G3" s="56"/>
      <c r="H3" s="73" t="s">
        <v>250</v>
      </c>
      <c r="J3" s="104"/>
      <c r="K3" s="7"/>
      <c r="L3" s="59"/>
      <c r="M3" s="59"/>
      <c r="N3" s="59"/>
      <c r="O3" s="59"/>
      <c r="P3" s="59"/>
      <c r="Q3" s="59"/>
      <c r="R3" s="59"/>
      <c r="S3" s="59"/>
    </row>
    <row r="4" spans="1:28" ht="15.75" customHeight="1" thickBot="1" x14ac:dyDescent="0.35">
      <c r="A4" s="103"/>
      <c r="B4" s="80" t="s">
        <v>259</v>
      </c>
      <c r="C4"/>
      <c r="D4"/>
      <c r="F4" s="8" t="s">
        <v>252</v>
      </c>
      <c r="G4" s="110" t="s">
        <v>70</v>
      </c>
      <c r="H4" s="111"/>
      <c r="J4" s="104"/>
      <c r="L4" s="64" t="s">
        <v>215</v>
      </c>
      <c r="M4" s="61">
        <f>VLOOKUP(C7,DATA!A2:B3,2,FALSE)</f>
        <v>2.2000000000000002</v>
      </c>
      <c r="N4" s="65" t="str">
        <f>VLOOKUP(C7,DATA!A2:C3,3,FALSE)</f>
        <v>R/hr/Ci @ 1 ft</v>
      </c>
      <c r="O4" s="63"/>
      <c r="P4" s="63" t="s">
        <v>266</v>
      </c>
      <c r="Q4" s="63"/>
      <c r="R4" s="63"/>
      <c r="S4" s="63"/>
      <c r="X4" s="11" t="s">
        <v>241</v>
      </c>
      <c r="Y4" s="43">
        <f>(M9+Q5/2)*COS(RADIANS(M8/2))+SQRT((Q5/2)^2-(M9+Q5/2)^2*SIN(RADIANS(M8/2))^2)</f>
        <v>6.0201994728217372</v>
      </c>
      <c r="AA4" s="6">
        <f>Q5*ASIN(((M9+Q5/2)*COS(RADIANS(M8/2))+SQRT((Q5/2)^2-(M9+Q5/2)^2*SIN(RADIANS(M8/2))^2))*SIN(RADIANS(M8/2))*2/Q5)</f>
        <v>5.2011715969124461</v>
      </c>
      <c r="AB4" s="43">
        <f>AA4-Y9</f>
        <v>0</v>
      </c>
    </row>
    <row r="5" spans="1:28" ht="14.55" customHeight="1" thickBot="1" x14ac:dyDescent="0.35">
      <c r="A5" s="103"/>
      <c r="B5" s="78"/>
      <c r="F5" s="86" t="s">
        <v>6</v>
      </c>
      <c r="G5" s="71">
        <v>28</v>
      </c>
      <c r="H5" s="112" t="s">
        <v>189</v>
      </c>
      <c r="J5" s="104"/>
      <c r="L5" s="64" t="s">
        <v>204</v>
      </c>
      <c r="M5" s="61">
        <f>IF(C12="YES",60/C13*C11,C11)</f>
        <v>2</v>
      </c>
      <c r="N5" s="65" t="s">
        <v>0</v>
      </c>
      <c r="O5" s="63"/>
      <c r="P5" s="60" t="s">
        <v>6</v>
      </c>
      <c r="Q5" s="61">
        <f>IF(H3="SCHEDULE",VLOOKUP(G4,DATA!V:Z,5,FALSE),G5)</f>
        <v>4.5</v>
      </c>
      <c r="R5" s="62" t="s">
        <v>189</v>
      </c>
      <c r="S5" s="63"/>
      <c r="X5" s="11"/>
      <c r="Y5" s="43"/>
      <c r="AB5" s="43"/>
    </row>
    <row r="6" spans="1:28" ht="14.55" customHeight="1" thickBot="1" x14ac:dyDescent="0.35">
      <c r="A6" s="103"/>
      <c r="B6" s="30" t="s">
        <v>208</v>
      </c>
      <c r="C6" s="118" t="s">
        <v>213</v>
      </c>
      <c r="D6" s="119"/>
      <c r="F6" s="15" t="s">
        <v>5</v>
      </c>
      <c r="G6" s="72">
        <v>0.55000000000000004</v>
      </c>
      <c r="H6" s="113"/>
      <c r="J6" s="104"/>
      <c r="L6" s="64" t="s">
        <v>197</v>
      </c>
      <c r="M6" s="61">
        <f>VLOOKUP(G9,DATA!H2:I4,2,FALSE)</f>
        <v>0.04</v>
      </c>
      <c r="N6" s="65" t="str">
        <f>G9</f>
        <v>ASME API</v>
      </c>
      <c r="O6" s="63"/>
      <c r="P6" s="64" t="s">
        <v>5</v>
      </c>
      <c r="Q6" s="61">
        <f>IF(H3="SCHEDULE",VLOOKUP(G4,DATA!V:Z,2,FALSE),G6)</f>
        <v>0.23699999999999999</v>
      </c>
      <c r="R6" s="62" t="s">
        <v>189</v>
      </c>
      <c r="S6" s="63"/>
      <c r="X6" s="11" t="s">
        <v>242</v>
      </c>
      <c r="Y6" s="43">
        <f>Y4*SIN(RADIANS(M8/2))</f>
        <v>2.0590294865436056</v>
      </c>
    </row>
    <row r="7" spans="1:28" ht="14.55" customHeight="1" thickBot="1" x14ac:dyDescent="0.35">
      <c r="A7" s="103"/>
      <c r="B7" s="30" t="s">
        <v>201</v>
      </c>
      <c r="C7" s="118" t="s">
        <v>198</v>
      </c>
      <c r="D7" s="119"/>
      <c r="J7" s="104"/>
      <c r="L7" s="106" t="s">
        <v>218</v>
      </c>
      <c r="M7" s="66" t="s">
        <v>188</v>
      </c>
      <c r="N7" s="66" t="s">
        <v>187</v>
      </c>
      <c r="O7" s="63"/>
      <c r="P7" s="63"/>
      <c r="Q7" s="63"/>
      <c r="R7" s="63"/>
      <c r="S7" s="63"/>
      <c r="X7" t="s">
        <v>243</v>
      </c>
      <c r="Y7" s="5">
        <f>2*Y6</f>
        <v>4.1180589730872112</v>
      </c>
      <c r="Z7"/>
    </row>
    <row r="8" spans="1:28" ht="14.55" customHeight="1" thickBot="1" x14ac:dyDescent="0.35">
      <c r="A8" s="103"/>
      <c r="B8" s="30" t="s">
        <v>256</v>
      </c>
      <c r="C8" s="81">
        <v>80</v>
      </c>
      <c r="D8" s="100" t="s">
        <v>257</v>
      </c>
      <c r="F8" s="6" t="s">
        <v>258</v>
      </c>
      <c r="J8" s="104"/>
      <c r="L8" s="107"/>
      <c r="M8" s="61">
        <f>VLOOKUP(C6,DATA!K3:M6,3,FALSE)</f>
        <v>40</v>
      </c>
      <c r="N8" s="61">
        <f>VLOOKUP(C6,DATA!K3:M6,2,FALSE)</f>
        <v>40</v>
      </c>
      <c r="O8" s="63"/>
      <c r="P8" s="60" t="s">
        <v>4</v>
      </c>
      <c r="Q8" s="61">
        <f>VLOOKUP(C7,DATA!A2:F3,5,FALSE)</f>
        <v>0.315</v>
      </c>
      <c r="R8" s="62" t="s">
        <v>189</v>
      </c>
      <c r="S8" s="63"/>
      <c r="X8"/>
      <c r="Y8" s="5"/>
      <c r="Z8"/>
    </row>
    <row r="9" spans="1:28" ht="14.55" customHeight="1" thickBot="1" x14ac:dyDescent="0.35">
      <c r="A9" s="103"/>
      <c r="B9" s="30" t="s">
        <v>222</v>
      </c>
      <c r="C9" s="110" t="s">
        <v>223</v>
      </c>
      <c r="D9" s="111"/>
      <c r="F9" s="30" t="s">
        <v>196</v>
      </c>
      <c r="G9" s="110" t="s">
        <v>194</v>
      </c>
      <c r="H9" s="111"/>
      <c r="J9" s="104"/>
      <c r="L9" s="67" t="s">
        <v>190</v>
      </c>
      <c r="M9" s="68">
        <f>VLOOKUP(C6,DATA!K3:N6,4,FALSE)</f>
        <v>2.5</v>
      </c>
      <c r="N9" s="62" t="s">
        <v>189</v>
      </c>
      <c r="O9" s="63"/>
      <c r="P9" s="64" t="s">
        <v>3</v>
      </c>
      <c r="Q9" s="61">
        <f>VLOOKUP(C7,DATA!A2:F3,6,FALSE)</f>
        <v>3.9E-2</v>
      </c>
      <c r="R9" s="62" t="s">
        <v>189</v>
      </c>
      <c r="S9" s="63"/>
      <c r="X9" s="11" t="s">
        <v>244</v>
      </c>
      <c r="Y9" s="5">
        <f>Q5*ASIN(Y7/Q5)</f>
        <v>5.2011715969124461</v>
      </c>
      <c r="Z9"/>
    </row>
    <row r="10" spans="1:28" ht="14.55" customHeight="1" thickBot="1" x14ac:dyDescent="0.35">
      <c r="A10" s="103"/>
      <c r="B10" s="30" t="s">
        <v>227</v>
      </c>
      <c r="C10" s="70">
        <v>6</v>
      </c>
      <c r="D10" s="58" t="s">
        <v>226</v>
      </c>
      <c r="F10" s="41" t="s">
        <v>253</v>
      </c>
      <c r="G10" s="116" t="s">
        <v>230</v>
      </c>
      <c r="H10" s="117"/>
      <c r="J10" s="104"/>
      <c r="L10" s="67" t="s">
        <v>268</v>
      </c>
      <c r="M10" s="69">
        <f>IF(G13="NO",G15,ROUNDUP((C14*Q5)/M6+Q5,1))</f>
        <v>20.100000000000001</v>
      </c>
      <c r="N10" s="62" t="s">
        <v>189</v>
      </c>
      <c r="O10" s="63"/>
      <c r="P10" s="63"/>
      <c r="Q10" s="63"/>
      <c r="R10" s="63"/>
      <c r="S10" s="63"/>
      <c r="X10" s="11" t="s">
        <v>245</v>
      </c>
      <c r="Y10" s="43">
        <f>PI()*Q5/4</f>
        <v>3.5342917352885173</v>
      </c>
    </row>
    <row r="11" spans="1:28" ht="14.55" customHeight="1" thickBot="1" x14ac:dyDescent="0.35">
      <c r="A11" s="103"/>
      <c r="B11" s="30" t="s">
        <v>214</v>
      </c>
      <c r="C11" s="71">
        <v>2</v>
      </c>
      <c r="D11" s="31" t="s">
        <v>0</v>
      </c>
      <c r="F11" s="114" t="s">
        <v>232</v>
      </c>
      <c r="G11" s="54" t="s">
        <v>188</v>
      </c>
      <c r="H11" s="54" t="s">
        <v>187</v>
      </c>
      <c r="J11" s="104"/>
      <c r="L11"/>
      <c r="M11"/>
      <c r="O11" s="63"/>
      <c r="P11" s="63"/>
      <c r="Q11" s="63"/>
      <c r="R11" s="63"/>
      <c r="S11" s="63"/>
      <c r="X11" s="11" t="s">
        <v>246</v>
      </c>
      <c r="Y11" s="5">
        <f>(Y9-Y10)/2</f>
        <v>0.83343993081196444</v>
      </c>
      <c r="Z11" t="s">
        <v>247</v>
      </c>
    </row>
    <row r="12" spans="1:28" ht="14.55" customHeight="1" thickBot="1" x14ac:dyDescent="0.35">
      <c r="A12" s="103"/>
      <c r="B12" s="30" t="s">
        <v>265</v>
      </c>
      <c r="C12" s="120" t="s">
        <v>231</v>
      </c>
      <c r="D12" s="121"/>
      <c r="F12" s="115"/>
      <c r="G12" s="74">
        <v>0.5</v>
      </c>
      <c r="H12" s="74">
        <v>0.5</v>
      </c>
      <c r="J12" s="104"/>
      <c r="K12" s="9"/>
    </row>
    <row r="13" spans="1:28" ht="14.55" customHeight="1" thickBot="1" x14ac:dyDescent="0.35">
      <c r="A13" s="103"/>
      <c r="B13" s="82" t="s">
        <v>202</v>
      </c>
      <c r="C13" s="71">
        <v>60</v>
      </c>
      <c r="D13" s="29" t="s">
        <v>203</v>
      </c>
      <c r="F13" s="127" t="s">
        <v>263</v>
      </c>
      <c r="G13" s="116" t="s">
        <v>230</v>
      </c>
      <c r="H13" s="117"/>
      <c r="J13" s="104"/>
      <c r="K13" s="9"/>
    </row>
    <row r="14" spans="1:28" ht="14.55" customHeight="1" thickBot="1" x14ac:dyDescent="0.35">
      <c r="A14" s="103"/>
      <c r="B14" s="84" t="s">
        <v>216</v>
      </c>
      <c r="C14" s="71">
        <v>0.13800000000000001</v>
      </c>
      <c r="D14" s="13" t="s">
        <v>189</v>
      </c>
      <c r="F14" s="128"/>
      <c r="G14" s="130" t="s">
        <v>240</v>
      </c>
      <c r="H14" s="131"/>
      <c r="J14" s="104"/>
      <c r="K14" s="9"/>
      <c r="L14" s="14"/>
    </row>
    <row r="15" spans="1:28" ht="14.55" customHeight="1" thickBot="1" x14ac:dyDescent="0.35">
      <c r="A15" s="103"/>
      <c r="B15" s="85"/>
      <c r="C15" s="52">
        <f>C14*25.4</f>
        <v>3.5052000000000003</v>
      </c>
      <c r="D15" s="53" t="s">
        <v>1</v>
      </c>
      <c r="E15" s="25" t="s">
        <v>217</v>
      </c>
      <c r="F15" s="129"/>
      <c r="G15" s="75">
        <v>14</v>
      </c>
      <c r="H15" s="29" t="s">
        <v>189</v>
      </c>
      <c r="J15" s="104"/>
    </row>
    <row r="16" spans="1:28" ht="14.55" customHeight="1" thickBot="1" x14ac:dyDescent="0.35">
      <c r="A16" s="103"/>
      <c r="B16" s="30" t="s">
        <v>236</v>
      </c>
      <c r="C16" s="71">
        <v>2</v>
      </c>
      <c r="D16" s="29" t="s">
        <v>261</v>
      </c>
      <c r="F16" s="83"/>
      <c r="G16"/>
      <c r="H16"/>
      <c r="J16" s="104"/>
    </row>
    <row r="17" spans="1:25" customFormat="1" ht="14.55" customHeight="1" x14ac:dyDescent="0.3">
      <c r="A17" s="104"/>
      <c r="F17" s="6"/>
      <c r="G17" s="6"/>
      <c r="H17" s="6"/>
      <c r="J17" s="104"/>
    </row>
    <row r="18" spans="1:25" customFormat="1" ht="21.45" customHeight="1" outlineLevel="1" x14ac:dyDescent="0.3">
      <c r="A18" s="104"/>
      <c r="B18" s="44" t="s">
        <v>221</v>
      </c>
      <c r="C18" s="45"/>
      <c r="D18" s="45"/>
      <c r="E18" s="45"/>
      <c r="F18" s="45"/>
      <c r="G18" s="45"/>
      <c r="H18" s="45"/>
      <c r="I18" s="45"/>
      <c r="J18" s="104"/>
      <c r="Y18" s="6"/>
    </row>
    <row r="19" spans="1:25" customFormat="1" ht="14.55" customHeight="1" outlineLevel="1" x14ac:dyDescent="0.3">
      <c r="A19" s="104"/>
      <c r="J19" s="104"/>
      <c r="Y19" s="6"/>
    </row>
    <row r="20" spans="1:25" ht="19.05" customHeight="1" outlineLevel="1" thickBot="1" x14ac:dyDescent="0.35">
      <c r="A20" s="103"/>
      <c r="B20" s="126" t="s">
        <v>234</v>
      </c>
      <c r="C20" s="126"/>
      <c r="D20" s="126"/>
      <c r="E20" s="126"/>
      <c r="F20" s="126"/>
      <c r="G20" s="126"/>
      <c r="H20" s="126"/>
      <c r="I20" s="126"/>
      <c r="J20" s="104"/>
    </row>
    <row r="21" spans="1:25" ht="15" outlineLevel="1" thickBot="1" x14ac:dyDescent="0.35">
      <c r="A21" s="103"/>
      <c r="B21" s="16" t="s">
        <v>183</v>
      </c>
      <c r="C21" s="124" t="s">
        <v>184</v>
      </c>
      <c r="D21" s="18" t="s">
        <v>182</v>
      </c>
      <c r="E21" s="124" t="s">
        <v>185</v>
      </c>
      <c r="F21" s="17" t="s">
        <v>186</v>
      </c>
      <c r="G21" s="20" t="s">
        <v>2</v>
      </c>
      <c r="H21" s="108" t="s">
        <v>207</v>
      </c>
      <c r="I21" s="21" t="s">
        <v>269</v>
      </c>
      <c r="J21" s="104"/>
      <c r="K21" s="11"/>
      <c r="L21" s="6"/>
    </row>
    <row r="22" spans="1:25" ht="21.45" customHeight="1" outlineLevel="1" thickBot="1" x14ac:dyDescent="0.35">
      <c r="A22" s="103"/>
      <c r="B22" s="77">
        <f>(LN(1/(($M$5/1000)/(C8*$M$4/$C$10^2))))/LN(2)</f>
        <v>11.255290901857073</v>
      </c>
      <c r="C22" s="125"/>
      <c r="D22" s="57">
        <f>$Q$6*2/$Q$8</f>
        <v>1.5047619047619047</v>
      </c>
      <c r="E22" s="125"/>
      <c r="F22" s="22">
        <f>B22-$D$22</f>
        <v>9.7505289970951683</v>
      </c>
      <c r="G22" s="24">
        <f>F22*$Q$9</f>
        <v>0.38027063088671154</v>
      </c>
      <c r="H22" s="109"/>
      <c r="I22" s="88">
        <f>IF(ROUNDUP(F22/VLOOKUP($C$7,DATA!$A$2:$D$3,4,FALSE),0)&lt;0,0,ROUNDUP(F22/VLOOKUP($C$7,DATA!$A$2:$D$3,4,FALSE),0))</f>
        <v>4</v>
      </c>
      <c r="J22" s="104"/>
      <c r="K22" s="11"/>
      <c r="L22" s="6"/>
    </row>
    <row r="23" spans="1:25" ht="14.55" customHeight="1" outlineLevel="1" x14ac:dyDescent="0.3">
      <c r="A23" s="103"/>
      <c r="J23" s="104"/>
    </row>
    <row r="24" spans="1:25" ht="18.600000000000001" outlineLevel="1" thickBot="1" x14ac:dyDescent="0.35">
      <c r="A24" s="103"/>
      <c r="B24" s="28" t="s">
        <v>220</v>
      </c>
      <c r="C24" s="28"/>
      <c r="D24" s="28"/>
      <c r="E24"/>
      <c r="F24" s="28" t="s">
        <v>233</v>
      </c>
      <c r="G24" s="28"/>
      <c r="H24" s="28"/>
      <c r="I24"/>
      <c r="J24" s="104"/>
      <c r="K24"/>
    </row>
    <row r="25" spans="1:25" ht="21" outlineLevel="1" x14ac:dyDescent="0.3">
      <c r="A25" s="103"/>
      <c r="B25" s="34" t="s">
        <v>191</v>
      </c>
      <c r="C25" s="89">
        <f>ROUNDUP(2*TAN(RADIANS(N8/2))*(Q5+M9),1)</f>
        <v>5.0999999999999996</v>
      </c>
      <c r="D25" s="33" t="s">
        <v>189</v>
      </c>
      <c r="E25"/>
      <c r="F25" s="34" t="s">
        <v>248</v>
      </c>
      <c r="G25" s="46">
        <f>IFERROR(ROUNDUP(Q5*ASIN(((M9+Q5/2)*COS(RADIANS(M8/2))+SQRT((Q5/2)^2-(M9+Q5/2)^2*SIN(RADIANS(M8/2))^2))*SIN(RADIANS(M8/2))*2/Q5),1),"N/A")</f>
        <v>5.3</v>
      </c>
      <c r="H25" s="33" t="s">
        <v>189</v>
      </c>
      <c r="I25"/>
      <c r="J25" s="104"/>
      <c r="K25"/>
    </row>
    <row r="26" spans="1:25" ht="21" outlineLevel="1" x14ac:dyDescent="0.3">
      <c r="A26" s="103"/>
      <c r="B26" s="49" t="s">
        <v>192</v>
      </c>
      <c r="C26" s="93">
        <f>ROUNDUP(2*TAN(RADIANS(M8/2))*(Q5+M9),1)</f>
        <v>5.0999999999999996</v>
      </c>
      <c r="D26" s="51" t="s">
        <v>189</v>
      </c>
      <c r="E26"/>
      <c r="F26" s="49" t="s">
        <v>254</v>
      </c>
      <c r="G26" s="50">
        <f>IFERROR(ROUNDUP(PI()*Q5/G25,0),"N/A")</f>
        <v>3</v>
      </c>
      <c r="H26" s="51"/>
      <c r="I26"/>
      <c r="J26" s="104"/>
      <c r="K26"/>
    </row>
    <row r="27" spans="1:25" ht="21.6" outlineLevel="1" thickBot="1" x14ac:dyDescent="0.35">
      <c r="A27" s="103"/>
      <c r="B27" s="35" t="s">
        <v>248</v>
      </c>
      <c r="C27" s="47">
        <f>IFERROR(ROUNDUP(Q5*ASIN(((M9+Q5/2)*COS(RADIANS(M8/2))+SQRT((Q5/2)^2-(M9+Q5/2)^2*SIN(RADIANS(M8/2))^2))*SIN(RADIANS(M8/2))*2/Q5),1),"N/A")</f>
        <v>5.3</v>
      </c>
      <c r="D27" s="32" t="s">
        <v>189</v>
      </c>
      <c r="E27"/>
      <c r="F27" s="35" t="s">
        <v>255</v>
      </c>
      <c r="G27" s="47">
        <f>IFERROR((Q5*ASIN(((M9+Q5/2)*COS(RADIANS(M8/2))+SQRT((Q5/2)^2-(M9+Q5/2)^2*SIN(RADIANS(M8/2))^2))*SIN(RADIANS(M8/2))*2/Q5)-PI()*Q5/G26)/2,"N/A")</f>
        <v>0.24439130826387823</v>
      </c>
      <c r="H27" s="32" t="s">
        <v>189</v>
      </c>
      <c r="I27"/>
      <c r="J27" s="104"/>
      <c r="K27"/>
    </row>
    <row r="28" spans="1:25" ht="14.55" customHeight="1" outlineLevel="1" x14ac:dyDescent="0.3">
      <c r="A28" s="103"/>
      <c r="E28"/>
      <c r="F28"/>
      <c r="G28"/>
      <c r="H28"/>
      <c r="I28"/>
      <c r="J28" s="104"/>
      <c r="K28"/>
    </row>
    <row r="29" spans="1:25" ht="18.600000000000001" outlineLevel="1" thickBot="1" x14ac:dyDescent="0.35">
      <c r="A29" s="103"/>
      <c r="B29" s="28" t="s">
        <v>235</v>
      </c>
      <c r="C29" s="28"/>
      <c r="D29" s="28"/>
      <c r="E29" s="28"/>
      <c r="F29" s="28"/>
      <c r="G29"/>
      <c r="H29"/>
      <c r="I29"/>
      <c r="J29" s="104"/>
      <c r="K29"/>
    </row>
    <row r="30" spans="1:25" customFormat="1" ht="21" outlineLevel="1" x14ac:dyDescent="0.4">
      <c r="A30" s="104"/>
      <c r="B30" s="36" t="s">
        <v>264</v>
      </c>
      <c r="C30" s="48">
        <f>M9+Q5</f>
        <v>7</v>
      </c>
      <c r="D30" s="37" t="s">
        <v>189</v>
      </c>
      <c r="E30" s="37"/>
      <c r="F30" s="38"/>
      <c r="J30" s="104"/>
      <c r="L30" s="11"/>
      <c r="M30" s="6"/>
      <c r="X30" s="6"/>
    </row>
    <row r="31" spans="1:25" customFormat="1" ht="21.6" outlineLevel="1" thickBot="1" x14ac:dyDescent="0.45">
      <c r="A31" s="104"/>
      <c r="B31" s="90" t="s">
        <v>235</v>
      </c>
      <c r="C31" s="91">
        <f>INT($C$16/($C$8*$M$4*(12/$C$30)^2*(1/2)^(D22))*60)</f>
        <v>0</v>
      </c>
      <c r="D31" s="92" t="s">
        <v>203</v>
      </c>
      <c r="E31" s="98">
        <f>INT(MOD($C$16/($C$8*$M$4*(12/$C$30)^2*(1/2)^(D22))*3600,60))</f>
        <v>39</v>
      </c>
      <c r="F31" s="99" t="s">
        <v>239</v>
      </c>
      <c r="J31" s="104"/>
    </row>
    <row r="32" spans="1:25" ht="14.55" customHeight="1" x14ac:dyDescent="0.3">
      <c r="A32" s="103"/>
      <c r="B32" s="103"/>
      <c r="C32" s="103"/>
      <c r="D32" s="103"/>
      <c r="E32" s="103"/>
      <c r="F32" s="105"/>
      <c r="G32" s="105"/>
      <c r="H32" s="104"/>
      <c r="I32" s="104"/>
      <c r="J32" s="104"/>
      <c r="K32"/>
    </row>
    <row r="33" spans="2:24" ht="21" x14ac:dyDescent="0.3">
      <c r="B33" s="39" t="s">
        <v>225</v>
      </c>
      <c r="C33" s="40"/>
      <c r="D33" s="40"/>
      <c r="E33" s="40"/>
      <c r="F33" s="40"/>
      <c r="G33" s="40"/>
      <c r="H33" s="40"/>
      <c r="I33" s="40"/>
      <c r="K33"/>
    </row>
    <row r="34" spans="2:24" ht="14.55" customHeight="1" outlineLevel="1" x14ac:dyDescent="0.3">
      <c r="F34" s="7"/>
      <c r="G34" s="7"/>
      <c r="H34" s="7"/>
      <c r="I34" s="7"/>
    </row>
    <row r="35" spans="2:24" ht="19.05" customHeight="1" outlineLevel="1" thickBot="1" x14ac:dyDescent="0.35">
      <c r="B35" s="76" t="s">
        <v>234</v>
      </c>
      <c r="C35" s="76"/>
      <c r="D35" s="76"/>
      <c r="E35" s="76"/>
      <c r="F35" s="76"/>
      <c r="G35" s="76"/>
      <c r="H35"/>
      <c r="I35"/>
    </row>
    <row r="36" spans="2:24" ht="15" customHeight="1" outlineLevel="1" thickBot="1" x14ac:dyDescent="0.35">
      <c r="B36" s="19" t="s">
        <v>183</v>
      </c>
      <c r="C36" s="122" t="s">
        <v>185</v>
      </c>
      <c r="D36" s="19" t="s">
        <v>186</v>
      </c>
      <c r="E36" s="94" t="s">
        <v>2</v>
      </c>
      <c r="F36" s="108" t="s">
        <v>207</v>
      </c>
      <c r="G36" s="96" t="s">
        <v>269</v>
      </c>
      <c r="H36" s="11"/>
      <c r="L36" s="6"/>
    </row>
    <row r="37" spans="2:24" ht="21.45" customHeight="1" outlineLevel="1" thickBot="1" x14ac:dyDescent="0.35">
      <c r="B37" s="23">
        <f>(LN(1/(($M$5/1000)/(C8*$M$4/$C$10^2))))/LN(2)</f>
        <v>11.255290901857073</v>
      </c>
      <c r="C37" s="123"/>
      <c r="D37" s="23">
        <f t="shared" ref="D37" si="0">B37</f>
        <v>11.255290901857073</v>
      </c>
      <c r="E37" s="95">
        <f>D37*$Q$9</f>
        <v>0.43895634517242582</v>
      </c>
      <c r="F37" s="109"/>
      <c r="G37" s="88">
        <f>IF(ROUNDUP(D37/VLOOKUP($C$7,DATA!$A$2:$D$3,4,FALSE),0)&lt;0,0,ROUNDUP(D37/VLOOKUP($C$7,DATA!$A$2:$D$3,4,FALSE),0))</f>
        <v>5</v>
      </c>
      <c r="H37" s="11"/>
      <c r="L37" s="6"/>
    </row>
    <row r="38" spans="2:24" ht="14.55" customHeight="1" outlineLevel="1" x14ac:dyDescent="0.3">
      <c r="F38" s="7"/>
      <c r="G38" s="7"/>
      <c r="H38" s="7"/>
      <c r="I38" s="7"/>
    </row>
    <row r="39" spans="2:24" ht="18.600000000000001" outlineLevel="1" thickBot="1" x14ac:dyDescent="0.35">
      <c r="B39" s="28" t="s">
        <v>220</v>
      </c>
      <c r="C39" s="28"/>
      <c r="D39" s="28"/>
      <c r="F39"/>
      <c r="G39"/>
      <c r="H39"/>
    </row>
    <row r="40" spans="2:24" ht="21" outlineLevel="1" x14ac:dyDescent="0.3">
      <c r="B40" s="34" t="s">
        <v>191</v>
      </c>
      <c r="C40" s="89">
        <f>ROUNDUP(IF(G10="NO",2*TAN(RADIANS(N8/2))*(M10),2*TAN(RADIANS(N8/2*(1-H12)))*(M10)),1)</f>
        <v>7.1</v>
      </c>
      <c r="D40" s="27" t="s">
        <v>189</v>
      </c>
      <c r="F40"/>
      <c r="G40"/>
      <c r="H40"/>
    </row>
    <row r="41" spans="2:24" ht="21.6" outlineLevel="1" thickBot="1" x14ac:dyDescent="0.35">
      <c r="B41" s="35" t="s">
        <v>192</v>
      </c>
      <c r="C41" s="97">
        <f>ROUNDUP(IF(G10="NO",2*TAN(RADIANS(M8/2))*(M10),2*TAN(RADIANS(M8/2*(1-G12)))*(M10)),1)</f>
        <v>7.1</v>
      </c>
      <c r="D41" s="26" t="s">
        <v>189</v>
      </c>
      <c r="F41"/>
      <c r="G41"/>
      <c r="H41"/>
    </row>
    <row r="42" spans="2:24" ht="14.55" customHeight="1" outlineLevel="1" x14ac:dyDescent="0.3">
      <c r="G42"/>
      <c r="H42" s="6" t="s">
        <v>267</v>
      </c>
      <c r="X42"/>
    </row>
    <row r="43" spans="2:24" ht="18.600000000000001" outlineLevel="1" thickBot="1" x14ac:dyDescent="0.35">
      <c r="B43" s="28" t="s">
        <v>235</v>
      </c>
      <c r="C43" s="28"/>
      <c r="D43" s="28"/>
      <c r="E43" s="28"/>
      <c r="F43" s="28"/>
      <c r="G43"/>
      <c r="H43"/>
      <c r="I43"/>
      <c r="K43"/>
    </row>
    <row r="44" spans="2:24" customFormat="1" ht="21" outlineLevel="1" x14ac:dyDescent="0.4">
      <c r="B44" s="36" t="s">
        <v>264</v>
      </c>
      <c r="C44" s="48">
        <f>IF(G13="YES",M10,G15)</f>
        <v>20.100000000000001</v>
      </c>
      <c r="D44" s="37" t="s">
        <v>189</v>
      </c>
      <c r="E44" s="1"/>
      <c r="F44" s="2"/>
      <c r="L44" s="11"/>
    </row>
    <row r="45" spans="2:24" customFormat="1" ht="21.6" outlineLevel="1" thickBot="1" x14ac:dyDescent="0.45">
      <c r="B45" s="90" t="s">
        <v>235</v>
      </c>
      <c r="C45" s="91">
        <f>INT($C$16/($C$8*$M$4*(12/$C$44)^2*(1/2)^(2*$Q$6/$Q$8))*60)</f>
        <v>5</v>
      </c>
      <c r="D45" s="92" t="s">
        <v>203</v>
      </c>
      <c r="E45" s="98">
        <f>INT(MOD($C$16/(C8*$M$4*(12/$C$44)^2*(1/2)^(2*$Q$6/$Q$8))*3600,60))</f>
        <v>25</v>
      </c>
      <c r="F45" s="99" t="s">
        <v>239</v>
      </c>
    </row>
    <row r="53" ht="14.55" customHeight="1" x14ac:dyDescent="0.3"/>
  </sheetData>
  <sheetProtection selectLockedCells="1" selectUnlockedCells="1"/>
  <mergeCells count="19">
    <mergeCell ref="F36:F37"/>
    <mergeCell ref="E21:E22"/>
    <mergeCell ref="B20:I20"/>
    <mergeCell ref="C9:D9"/>
    <mergeCell ref="F13:F15"/>
    <mergeCell ref="G13:H13"/>
    <mergeCell ref="G14:H14"/>
    <mergeCell ref="C6:D6"/>
    <mergeCell ref="C7:D7"/>
    <mergeCell ref="C12:D12"/>
    <mergeCell ref="C36:C37"/>
    <mergeCell ref="C21:C22"/>
    <mergeCell ref="L7:L8"/>
    <mergeCell ref="H21:H22"/>
    <mergeCell ref="G4:H4"/>
    <mergeCell ref="H5:H6"/>
    <mergeCell ref="F11:F12"/>
    <mergeCell ref="G9:H9"/>
    <mergeCell ref="G10:H10"/>
  </mergeCells>
  <conditionalFormatting sqref="G11:H12">
    <cfRule type="expression" dxfId="7" priority="11">
      <formula>$G$10="NO"</formula>
    </cfRule>
  </conditionalFormatting>
  <conditionalFormatting sqref="G14:H15">
    <cfRule type="expression" dxfId="6" priority="10">
      <formula>$G$13="YES"</formula>
    </cfRule>
  </conditionalFormatting>
  <conditionalFormatting sqref="F4:G4">
    <cfRule type="expression" dxfId="5" priority="9">
      <formula>$H$3="MANUAL"</formula>
    </cfRule>
  </conditionalFormatting>
  <conditionalFormatting sqref="F5:H5 F6:G6">
    <cfRule type="expression" dxfId="4" priority="8">
      <formula>$H$3="SCHEDULE"</formula>
    </cfRule>
  </conditionalFormatting>
  <conditionalFormatting sqref="B33:I45 F16">
    <cfRule type="expression" dxfId="3" priority="12">
      <formula>$C$9="Contact"</formula>
    </cfRule>
  </conditionalFormatting>
  <conditionalFormatting sqref="B18:I31">
    <cfRule type="expression" dxfId="2" priority="16">
      <formula>$C$9="Offset"</formula>
    </cfRule>
  </conditionalFormatting>
  <conditionalFormatting sqref="F8:H15">
    <cfRule type="expression" dxfId="1" priority="3">
      <formula>$C$9="Contact"</formula>
    </cfRule>
  </conditionalFormatting>
  <conditionalFormatting sqref="B13:D13">
    <cfRule type="expression" dxfId="0" priority="1">
      <formula>$C$12="NO"</formula>
    </cfRule>
  </conditionalFormatting>
  <dataValidations count="1">
    <dataValidation type="list" allowBlank="1" showInputMessage="1" showErrorMessage="1" sqref="G4">
      <formula1>PipeSize</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DATA!$A$2:$A$3</xm:f>
          </x14:formula1>
          <xm:sqref>C7</xm:sqref>
        </x14:dataValidation>
        <x14:dataValidation type="list" allowBlank="1" showInputMessage="1" showErrorMessage="1">
          <x14:formula1>
            <xm:f>DATA!$H$2:$H$4</xm:f>
          </x14:formula1>
          <xm:sqref>G9</xm:sqref>
        </x14:dataValidation>
        <x14:dataValidation type="list" allowBlank="1" showInputMessage="1" showErrorMessage="1">
          <x14:formula1>
            <xm:f>DATA!$K$3:$K$6</xm:f>
          </x14:formula1>
          <xm:sqref>C6</xm:sqref>
        </x14:dataValidation>
        <x14:dataValidation type="list" allowBlank="1" showInputMessage="1" showErrorMessage="1">
          <x14:formula1>
            <xm:f>DATA!$P$2:$P$3</xm:f>
          </x14:formula1>
          <xm:sqref>C9:D9</xm:sqref>
        </x14:dataValidation>
        <x14:dataValidation type="list" allowBlank="1" showInputMessage="1" showErrorMessage="1">
          <x14:formula1>
            <xm:f>DATA!$R$2:$R$3</xm:f>
          </x14:formula1>
          <xm:sqref>G13:H13 G10 C12</xm:sqref>
        </x14:dataValidation>
        <x14:dataValidation type="list" allowBlank="1" showInputMessage="1" showErrorMessage="1">
          <x14:formula1>
            <xm:f>DATA!$T$2:$T$3</xm:f>
          </x14:formula1>
          <xm:sqref>H3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5"/>
  <sheetViews>
    <sheetView topLeftCell="C1" workbookViewId="0">
      <selection activeCell="N37" sqref="N37"/>
    </sheetView>
  </sheetViews>
  <sheetFormatPr defaultRowHeight="14.4" x14ac:dyDescent="0.3"/>
  <cols>
    <col min="1" max="2" width="8.77734375" style="10"/>
    <col min="3" max="3" width="12.33203125" style="10" bestFit="1" customWidth="1"/>
    <col min="4" max="4" width="10.88671875" style="10" bestFit="1" customWidth="1"/>
    <col min="5" max="5" width="8.77734375" style="10"/>
    <col min="6" max="7" width="8.77734375" style="12"/>
    <col min="8" max="8" width="15.44140625" style="10" bestFit="1" customWidth="1"/>
    <col min="9" max="9" width="6.21875" style="10" bestFit="1" customWidth="1"/>
    <col min="10" max="10" width="8.77734375" style="10"/>
    <col min="11" max="11" width="12.33203125" style="10" bestFit="1" customWidth="1"/>
    <col min="12" max="12" width="10.21875" style="10" bestFit="1" customWidth="1"/>
    <col min="13" max="13" width="8.77734375" style="10"/>
    <col min="14" max="14" width="22.5546875" style="10" bestFit="1" customWidth="1"/>
    <col min="16" max="18" width="8.77734375" style="10"/>
    <col min="19" max="19" width="8.77734375" style="42"/>
    <col min="20" max="20" width="9.44140625" bestFit="1" customWidth="1"/>
    <col min="22" max="22" width="19.21875" bestFit="1" customWidth="1"/>
    <col min="23" max="26" width="8.77734375" style="4"/>
  </cols>
  <sheetData>
    <row r="1" spans="1:26" ht="14.25" x14ac:dyDescent="0.45">
      <c r="B1" s="10" t="s">
        <v>205</v>
      </c>
      <c r="D1" s="10" t="s">
        <v>206</v>
      </c>
      <c r="E1" s="10" t="s">
        <v>237</v>
      </c>
      <c r="F1" s="12" t="s">
        <v>238</v>
      </c>
      <c r="I1" s="10" t="s">
        <v>197</v>
      </c>
      <c r="L1" s="132" t="s">
        <v>209</v>
      </c>
      <c r="M1" s="132"/>
      <c r="P1" s="10" t="s">
        <v>222</v>
      </c>
      <c r="V1" t="s">
        <v>228</v>
      </c>
      <c r="W1" s="4" t="s">
        <v>229</v>
      </c>
      <c r="Y1" s="4" t="s">
        <v>7</v>
      </c>
      <c r="Z1" s="4" t="s">
        <v>6</v>
      </c>
    </row>
    <row r="2" spans="1:26" ht="14.25" x14ac:dyDescent="0.45">
      <c r="A2" s="10" t="s">
        <v>198</v>
      </c>
      <c r="B2" s="10">
        <v>2.2000000000000002</v>
      </c>
      <c r="C2" s="10" t="s">
        <v>199</v>
      </c>
      <c r="D2" s="10">
        <v>2.5</v>
      </c>
      <c r="E2" s="10">
        <v>0.315</v>
      </c>
      <c r="F2" s="12">
        <v>3.9E-2</v>
      </c>
      <c r="H2" s="10" t="s">
        <v>193</v>
      </c>
      <c r="I2" s="10">
        <v>0.02</v>
      </c>
      <c r="L2" s="10" t="s">
        <v>187</v>
      </c>
      <c r="M2" s="10" t="s">
        <v>188</v>
      </c>
      <c r="N2" s="10" t="s">
        <v>190</v>
      </c>
      <c r="P2" s="10" t="s">
        <v>223</v>
      </c>
      <c r="R2" s="10" t="s">
        <v>230</v>
      </c>
      <c r="T2" s="42" t="s">
        <v>250</v>
      </c>
      <c r="U2" s="42"/>
      <c r="V2" s="3" t="s">
        <v>8</v>
      </c>
      <c r="W2" s="87">
        <v>4.9000000000000002E-2</v>
      </c>
      <c r="X2" s="4">
        <v>0.186</v>
      </c>
      <c r="Y2" s="4">
        <v>0.307</v>
      </c>
      <c r="Z2" s="4">
        <f t="shared" ref="Z2:Z33" si="0">Y2+(W2*2)</f>
        <v>0.40500000000000003</v>
      </c>
    </row>
    <row r="3" spans="1:26" ht="14.25" x14ac:dyDescent="0.45">
      <c r="A3" s="10" t="s">
        <v>200</v>
      </c>
      <c r="B3" s="10">
        <v>5.2</v>
      </c>
      <c r="C3" s="10" t="s">
        <v>199</v>
      </c>
      <c r="D3" s="10">
        <v>1.25</v>
      </c>
      <c r="E3" s="10">
        <v>0.51200000000000001</v>
      </c>
      <c r="F3" s="12">
        <v>0.2</v>
      </c>
      <c r="H3" s="10" t="s">
        <v>194</v>
      </c>
      <c r="I3" s="10">
        <v>0.04</v>
      </c>
      <c r="K3" s="10" t="s">
        <v>213</v>
      </c>
      <c r="L3" s="10">
        <v>40</v>
      </c>
      <c r="M3" s="10">
        <v>40</v>
      </c>
      <c r="N3" s="10">
        <v>2.5</v>
      </c>
      <c r="P3" s="10" t="s">
        <v>224</v>
      </c>
      <c r="R3" s="10" t="s">
        <v>231</v>
      </c>
      <c r="T3" t="s">
        <v>251</v>
      </c>
      <c r="V3" s="3" t="s">
        <v>9</v>
      </c>
      <c r="W3" s="4">
        <v>6.8000000000000005E-2</v>
      </c>
      <c r="X3" s="4">
        <v>0.245</v>
      </c>
      <c r="Y3" s="4">
        <v>0.26900000000000002</v>
      </c>
      <c r="Z3" s="4">
        <f t="shared" si="0"/>
        <v>0.40500000000000003</v>
      </c>
    </row>
    <row r="4" spans="1:26" ht="14.25" x14ac:dyDescent="0.45">
      <c r="H4" s="10" t="s">
        <v>195</v>
      </c>
      <c r="I4" s="10">
        <v>7.0000000000000007E-2</v>
      </c>
      <c r="K4" s="10" t="s">
        <v>212</v>
      </c>
      <c r="L4" s="10">
        <v>40</v>
      </c>
      <c r="M4" s="10">
        <v>40</v>
      </c>
      <c r="N4" s="10">
        <v>2.25</v>
      </c>
      <c r="V4" s="3" t="s">
        <v>10</v>
      </c>
      <c r="W4" s="4">
        <v>9.5000000000000001E-2</v>
      </c>
      <c r="X4" s="4">
        <v>0.315</v>
      </c>
      <c r="Y4" s="4">
        <v>0.215</v>
      </c>
      <c r="Z4" s="4">
        <f t="shared" si="0"/>
        <v>0.40500000000000003</v>
      </c>
    </row>
    <row r="5" spans="1:26" ht="14.25" x14ac:dyDescent="0.45">
      <c r="K5" s="10" t="s">
        <v>210</v>
      </c>
      <c r="L5" s="10">
        <v>30</v>
      </c>
      <c r="M5" s="10">
        <v>60</v>
      </c>
      <c r="N5" s="10">
        <v>1.3</v>
      </c>
      <c r="V5" s="3" t="s">
        <v>11</v>
      </c>
      <c r="W5" s="4">
        <v>6.5000000000000002E-2</v>
      </c>
      <c r="X5" s="4">
        <v>0.33</v>
      </c>
      <c r="Y5" s="4">
        <v>0.41</v>
      </c>
      <c r="Z5" s="4">
        <f t="shared" si="0"/>
        <v>0.54</v>
      </c>
    </row>
    <row r="6" spans="1:26" ht="14.25" x14ac:dyDescent="0.45">
      <c r="K6" s="10" t="s">
        <v>211</v>
      </c>
      <c r="L6" s="10">
        <v>40</v>
      </c>
      <c r="M6" s="10">
        <v>40</v>
      </c>
      <c r="N6" s="10">
        <v>1.3</v>
      </c>
      <c r="V6" s="3" t="s">
        <v>12</v>
      </c>
      <c r="W6" s="4">
        <v>8.7999999999999995E-2</v>
      </c>
      <c r="X6" s="4">
        <v>0.42499999999999999</v>
      </c>
      <c r="Y6" s="4">
        <v>0.36399999999999999</v>
      </c>
      <c r="Z6" s="4">
        <f t="shared" si="0"/>
        <v>0.54</v>
      </c>
    </row>
    <row r="7" spans="1:26" ht="14.25" x14ac:dyDescent="0.45">
      <c r="V7" s="3" t="s">
        <v>13</v>
      </c>
      <c r="W7" s="4">
        <v>0.11899999999999999</v>
      </c>
      <c r="X7" s="4">
        <v>0.53500000000000003</v>
      </c>
      <c r="Y7" s="4">
        <v>0.30199999999999999</v>
      </c>
      <c r="Z7" s="4">
        <f t="shared" si="0"/>
        <v>0.54</v>
      </c>
    </row>
    <row r="8" spans="1:26" ht="14.25" x14ac:dyDescent="0.45">
      <c r="V8" s="3" t="s">
        <v>14</v>
      </c>
      <c r="W8" s="4">
        <v>6.5000000000000002E-2</v>
      </c>
      <c r="X8" s="4">
        <v>0.42299999999999999</v>
      </c>
      <c r="Y8" s="4">
        <v>0.54500000000000004</v>
      </c>
      <c r="Z8" s="4">
        <f t="shared" si="0"/>
        <v>0.67500000000000004</v>
      </c>
    </row>
    <row r="9" spans="1:26" ht="14.25" x14ac:dyDescent="0.45">
      <c r="V9" s="3" t="s">
        <v>15</v>
      </c>
      <c r="W9" s="4">
        <v>9.0999999999999998E-2</v>
      </c>
      <c r="X9" s="4">
        <v>0.56799999999999995</v>
      </c>
      <c r="Y9" s="4">
        <v>0.49299999999999999</v>
      </c>
      <c r="Z9" s="4">
        <f t="shared" si="0"/>
        <v>0.67500000000000004</v>
      </c>
    </row>
    <row r="10" spans="1:26" ht="14.25" x14ac:dyDescent="0.45">
      <c r="V10" s="3" t="s">
        <v>16</v>
      </c>
      <c r="W10" s="4">
        <v>0.126</v>
      </c>
      <c r="X10" s="4">
        <v>0.73899999999999999</v>
      </c>
      <c r="Y10" s="4">
        <v>0.42299999999999999</v>
      </c>
      <c r="Z10" s="4">
        <f t="shared" si="0"/>
        <v>0.67500000000000004</v>
      </c>
    </row>
    <row r="11" spans="1:26" ht="14.25" x14ac:dyDescent="0.45">
      <c r="V11" s="3" t="s">
        <v>17</v>
      </c>
      <c r="W11" s="4">
        <v>8.3000000000000004E-2</v>
      </c>
      <c r="X11" s="4">
        <v>0.67100000000000004</v>
      </c>
      <c r="Y11" s="4">
        <v>0.67400000000000004</v>
      </c>
      <c r="Z11" s="4">
        <f t="shared" si="0"/>
        <v>0.84000000000000008</v>
      </c>
    </row>
    <row r="12" spans="1:26" ht="14.25" x14ac:dyDescent="0.45">
      <c r="V12" s="3" t="s">
        <v>18</v>
      </c>
      <c r="W12" s="4">
        <v>0.109</v>
      </c>
      <c r="X12" s="4">
        <v>0.85099999999999998</v>
      </c>
      <c r="Y12" s="4">
        <v>0.622</v>
      </c>
      <c r="Z12" s="4">
        <f t="shared" si="0"/>
        <v>0.84</v>
      </c>
    </row>
    <row r="13" spans="1:26" ht="14.25" x14ac:dyDescent="0.45">
      <c r="V13" s="3" t="s">
        <v>19</v>
      </c>
      <c r="W13" s="4">
        <v>0.14699999999999999</v>
      </c>
      <c r="X13" s="4">
        <v>1.0880000000000001</v>
      </c>
      <c r="Y13" s="4">
        <v>0.54600000000000004</v>
      </c>
      <c r="Z13" s="4">
        <f t="shared" si="0"/>
        <v>0.84000000000000008</v>
      </c>
    </row>
    <row r="14" spans="1:26" ht="14.25" x14ac:dyDescent="0.45">
      <c r="V14" s="3" t="s">
        <v>20</v>
      </c>
      <c r="W14" s="4">
        <v>0.187</v>
      </c>
      <c r="X14" s="4">
        <v>1.304</v>
      </c>
      <c r="Y14" s="4">
        <v>0.46600000000000003</v>
      </c>
      <c r="Z14" s="4">
        <f t="shared" si="0"/>
        <v>0.84000000000000008</v>
      </c>
    </row>
    <row r="15" spans="1:26" x14ac:dyDescent="0.3">
      <c r="V15" s="3" t="s">
        <v>21</v>
      </c>
      <c r="W15" s="4">
        <v>0.29399999999999998</v>
      </c>
      <c r="X15" s="4">
        <v>1.714</v>
      </c>
      <c r="Y15" s="4">
        <v>0.252</v>
      </c>
      <c r="Z15" s="4">
        <f t="shared" si="0"/>
        <v>0.84</v>
      </c>
    </row>
    <row r="16" spans="1:26" x14ac:dyDescent="0.3">
      <c r="V16" s="3" t="s">
        <v>22</v>
      </c>
      <c r="W16" s="4">
        <v>6.5000000000000002E-2</v>
      </c>
      <c r="X16" s="4">
        <v>0.68400000000000005</v>
      </c>
      <c r="Y16" s="4">
        <v>0.92</v>
      </c>
      <c r="Z16" s="4">
        <f t="shared" si="0"/>
        <v>1.05</v>
      </c>
    </row>
    <row r="17" spans="22:26" x14ac:dyDescent="0.3">
      <c r="V17" s="3" t="s">
        <v>23</v>
      </c>
      <c r="W17" s="4">
        <v>8.3000000000000004E-2</v>
      </c>
      <c r="X17" s="4">
        <v>0.85699999999999998</v>
      </c>
      <c r="Y17" s="4">
        <v>0.88400000000000001</v>
      </c>
      <c r="Z17" s="4">
        <f t="shared" si="0"/>
        <v>1.05</v>
      </c>
    </row>
    <row r="18" spans="22:26" x14ac:dyDescent="0.3">
      <c r="V18" s="3" t="s">
        <v>24</v>
      </c>
      <c r="W18" s="4">
        <v>0.113</v>
      </c>
      <c r="X18" s="4">
        <v>1.131</v>
      </c>
      <c r="Y18" s="4">
        <v>0.82399999999999995</v>
      </c>
      <c r="Z18" s="4">
        <f t="shared" si="0"/>
        <v>1.05</v>
      </c>
    </row>
    <row r="19" spans="22:26" x14ac:dyDescent="0.3">
      <c r="V19" s="3" t="s">
        <v>25</v>
      </c>
      <c r="W19" s="4">
        <v>0.154</v>
      </c>
      <c r="X19" s="4">
        <v>1.474</v>
      </c>
      <c r="Y19" s="4">
        <v>0.74199999999999999</v>
      </c>
      <c r="Z19" s="4">
        <f t="shared" si="0"/>
        <v>1.05</v>
      </c>
    </row>
    <row r="20" spans="22:26" x14ac:dyDescent="0.3">
      <c r="V20" s="3" t="s">
        <v>26</v>
      </c>
      <c r="W20" s="4">
        <v>0.218</v>
      </c>
      <c r="X20" s="4">
        <v>1.9370000000000001</v>
      </c>
      <c r="Y20" s="4">
        <v>0.61399999999999999</v>
      </c>
      <c r="Z20" s="4">
        <f t="shared" si="0"/>
        <v>1.05</v>
      </c>
    </row>
    <row r="21" spans="22:26" x14ac:dyDescent="0.3">
      <c r="V21" s="3" t="s">
        <v>27</v>
      </c>
      <c r="W21" s="4">
        <v>0.308</v>
      </c>
      <c r="X21" s="4">
        <v>2.4409999999999998</v>
      </c>
      <c r="Y21" s="4">
        <v>0.434</v>
      </c>
      <c r="Z21" s="4">
        <f t="shared" si="0"/>
        <v>1.05</v>
      </c>
    </row>
    <row r="22" spans="22:26" x14ac:dyDescent="0.3">
      <c r="V22" s="3" t="s">
        <v>28</v>
      </c>
      <c r="W22" s="4">
        <v>6.5000000000000002E-2</v>
      </c>
      <c r="X22" s="4">
        <v>0.86799999999999999</v>
      </c>
      <c r="Y22" s="4">
        <v>1.1850000000000001</v>
      </c>
      <c r="Z22" s="4">
        <f t="shared" si="0"/>
        <v>1.3149999999999999</v>
      </c>
    </row>
    <row r="23" spans="22:26" x14ac:dyDescent="0.3">
      <c r="V23" s="3" t="s">
        <v>29</v>
      </c>
      <c r="W23" s="4">
        <v>0.109</v>
      </c>
      <c r="X23" s="4">
        <v>1.4039999999999999</v>
      </c>
      <c r="Y23" s="4">
        <v>1.097</v>
      </c>
      <c r="Z23" s="4">
        <f t="shared" si="0"/>
        <v>1.3149999999999999</v>
      </c>
    </row>
    <row r="24" spans="22:26" x14ac:dyDescent="0.3">
      <c r="V24" s="3" t="s">
        <v>30</v>
      </c>
      <c r="W24" s="4">
        <v>0.13300000000000001</v>
      </c>
      <c r="X24" s="4">
        <v>1.679</v>
      </c>
      <c r="Y24" s="4">
        <v>1.0489999999999999</v>
      </c>
      <c r="Z24" s="4">
        <f t="shared" si="0"/>
        <v>1.3149999999999999</v>
      </c>
    </row>
    <row r="25" spans="22:26" x14ac:dyDescent="0.3">
      <c r="V25" s="3" t="s">
        <v>31</v>
      </c>
      <c r="W25" s="4">
        <v>0.17899999999999999</v>
      </c>
      <c r="X25" s="4">
        <v>2.1720000000000002</v>
      </c>
      <c r="Y25" s="4">
        <v>0.95699999999999996</v>
      </c>
      <c r="Z25" s="4">
        <f t="shared" si="0"/>
        <v>1.3149999999999999</v>
      </c>
    </row>
    <row r="26" spans="22:26" x14ac:dyDescent="0.3">
      <c r="V26" s="3" t="s">
        <v>32</v>
      </c>
      <c r="W26" s="4">
        <v>0.25</v>
      </c>
      <c r="X26" s="4">
        <v>2.8439999999999999</v>
      </c>
      <c r="Y26" s="4">
        <v>0.81499999999999995</v>
      </c>
      <c r="Z26" s="4">
        <f t="shared" si="0"/>
        <v>1.3149999999999999</v>
      </c>
    </row>
    <row r="27" spans="22:26" x14ac:dyDescent="0.3">
      <c r="V27" s="3" t="s">
        <v>33</v>
      </c>
      <c r="W27" s="4">
        <v>0.35799999999999998</v>
      </c>
      <c r="X27" s="4">
        <v>3.6589999999999998</v>
      </c>
      <c r="Y27" s="4">
        <v>0.59899999999999998</v>
      </c>
      <c r="Z27" s="4">
        <f t="shared" si="0"/>
        <v>1.3149999999999999</v>
      </c>
    </row>
    <row r="28" spans="22:26" x14ac:dyDescent="0.3">
      <c r="V28" s="3" t="s">
        <v>34</v>
      </c>
      <c r="W28" s="4">
        <v>6.5000000000000002E-2</v>
      </c>
      <c r="X28" s="4">
        <v>1.107</v>
      </c>
      <c r="Y28" s="4">
        <v>1.53</v>
      </c>
      <c r="Z28" s="4">
        <f t="shared" si="0"/>
        <v>1.6600000000000001</v>
      </c>
    </row>
    <row r="29" spans="22:26" x14ac:dyDescent="0.3">
      <c r="V29" s="3" t="s">
        <v>35</v>
      </c>
      <c r="W29" s="4">
        <v>0.109</v>
      </c>
      <c r="X29" s="4">
        <v>1.8049999999999999</v>
      </c>
      <c r="Y29" s="4">
        <v>1.4419999999999999</v>
      </c>
      <c r="Z29" s="4">
        <f t="shared" si="0"/>
        <v>1.66</v>
      </c>
    </row>
    <row r="30" spans="22:26" x14ac:dyDescent="0.3">
      <c r="V30" s="3" t="s">
        <v>36</v>
      </c>
      <c r="W30" s="4">
        <v>0.14000000000000001</v>
      </c>
      <c r="X30" s="4">
        <v>2.2730000000000001</v>
      </c>
      <c r="Y30" s="4">
        <v>1.38</v>
      </c>
      <c r="Z30" s="4">
        <f t="shared" si="0"/>
        <v>1.66</v>
      </c>
    </row>
    <row r="31" spans="22:26" x14ac:dyDescent="0.3">
      <c r="V31" s="3" t="s">
        <v>37</v>
      </c>
      <c r="W31" s="4">
        <v>0.191</v>
      </c>
      <c r="X31" s="4">
        <v>2.9969999999999999</v>
      </c>
      <c r="Y31" s="4">
        <v>1.278</v>
      </c>
      <c r="Z31" s="4">
        <f t="shared" si="0"/>
        <v>1.6600000000000001</v>
      </c>
    </row>
    <row r="32" spans="22:26" x14ac:dyDescent="0.3">
      <c r="V32" s="3" t="s">
        <v>38</v>
      </c>
      <c r="W32" s="4">
        <v>0.25</v>
      </c>
      <c r="X32" s="4">
        <v>3.7650000000000001</v>
      </c>
      <c r="Y32" s="4">
        <v>1.1599999999999999</v>
      </c>
      <c r="Z32" s="4">
        <f t="shared" si="0"/>
        <v>1.66</v>
      </c>
    </row>
    <row r="33" spans="22:26" x14ac:dyDescent="0.3">
      <c r="V33" s="3" t="s">
        <v>39</v>
      </c>
      <c r="W33" s="4">
        <v>0.38200000000000001</v>
      </c>
      <c r="X33" s="4">
        <v>5.2140000000000004</v>
      </c>
      <c r="Y33" s="4">
        <v>0.89600000000000002</v>
      </c>
      <c r="Z33" s="4">
        <f t="shared" si="0"/>
        <v>1.6600000000000001</v>
      </c>
    </row>
    <row r="34" spans="22:26" x14ac:dyDescent="0.3">
      <c r="V34" s="3" t="s">
        <v>40</v>
      </c>
      <c r="W34" s="4">
        <v>6.5000000000000002E-2</v>
      </c>
      <c r="X34" s="4">
        <v>1.274</v>
      </c>
      <c r="Y34" s="4">
        <v>1.77</v>
      </c>
      <c r="Z34" s="4">
        <f t="shared" ref="Z34:Z65" si="1">Y34+(W34*2)</f>
        <v>1.9</v>
      </c>
    </row>
    <row r="35" spans="22:26" x14ac:dyDescent="0.3">
      <c r="V35" s="3" t="s">
        <v>41</v>
      </c>
      <c r="W35" s="4">
        <v>0.109</v>
      </c>
      <c r="X35" s="4">
        <v>2.085</v>
      </c>
      <c r="Y35" s="4">
        <v>1.6819999999999999</v>
      </c>
      <c r="Z35" s="4">
        <f t="shared" si="1"/>
        <v>1.9</v>
      </c>
    </row>
    <row r="36" spans="22:26" x14ac:dyDescent="0.3">
      <c r="V36" s="3" t="s">
        <v>42</v>
      </c>
      <c r="W36" s="4">
        <v>0.14499999999999999</v>
      </c>
      <c r="X36" s="4">
        <v>2.718</v>
      </c>
      <c r="Y36" s="4">
        <v>1.61</v>
      </c>
      <c r="Z36" s="4">
        <f t="shared" si="1"/>
        <v>1.9000000000000001</v>
      </c>
    </row>
    <row r="37" spans="22:26" x14ac:dyDescent="0.3">
      <c r="V37" s="3" t="s">
        <v>43</v>
      </c>
      <c r="W37" s="4">
        <v>0.2</v>
      </c>
      <c r="X37" s="4">
        <v>3.6309999999999998</v>
      </c>
      <c r="Y37" s="4">
        <v>1.5</v>
      </c>
      <c r="Z37" s="4">
        <f t="shared" si="1"/>
        <v>1.9</v>
      </c>
    </row>
    <row r="38" spans="22:26" x14ac:dyDescent="0.3">
      <c r="V38" s="3" t="s">
        <v>44</v>
      </c>
      <c r="W38" s="4">
        <v>0.28100000000000003</v>
      </c>
      <c r="X38" s="4">
        <v>4.859</v>
      </c>
      <c r="Y38" s="4">
        <v>1.3380000000000001</v>
      </c>
      <c r="Z38" s="4">
        <f t="shared" si="1"/>
        <v>1.9000000000000001</v>
      </c>
    </row>
    <row r="39" spans="22:26" x14ac:dyDescent="0.3">
      <c r="V39" s="3" t="s">
        <v>45</v>
      </c>
      <c r="W39" s="4">
        <v>0.4</v>
      </c>
      <c r="X39" s="4">
        <v>6.4080000000000004</v>
      </c>
      <c r="Y39" s="4">
        <v>1.1000000000000001</v>
      </c>
      <c r="Z39" s="4">
        <f t="shared" si="1"/>
        <v>1.9000000000000001</v>
      </c>
    </row>
    <row r="40" spans="22:26" x14ac:dyDescent="0.3">
      <c r="V40" s="3" t="s">
        <v>46</v>
      </c>
      <c r="W40" s="4">
        <v>6.5000000000000002E-2</v>
      </c>
      <c r="X40" s="4">
        <v>1.6040000000000001</v>
      </c>
      <c r="Y40" s="4">
        <v>2.2450000000000001</v>
      </c>
      <c r="Z40" s="4">
        <f t="shared" si="1"/>
        <v>2.375</v>
      </c>
    </row>
    <row r="41" spans="22:26" x14ac:dyDescent="0.3">
      <c r="V41" s="3" t="s">
        <v>47</v>
      </c>
      <c r="W41" s="4">
        <v>0.109</v>
      </c>
      <c r="X41" s="4">
        <v>2.6379999999999999</v>
      </c>
      <c r="Y41" s="4">
        <v>2.157</v>
      </c>
      <c r="Z41" s="4">
        <f t="shared" si="1"/>
        <v>2.375</v>
      </c>
    </row>
    <row r="42" spans="22:26" x14ac:dyDescent="0.3">
      <c r="V42" s="3" t="s">
        <v>48</v>
      </c>
      <c r="W42" s="4">
        <v>0.154</v>
      </c>
      <c r="X42" s="4">
        <v>3.653</v>
      </c>
      <c r="Y42" s="4">
        <v>2.0670000000000002</v>
      </c>
      <c r="Z42" s="4">
        <f t="shared" si="1"/>
        <v>2.375</v>
      </c>
    </row>
    <row r="43" spans="22:26" x14ac:dyDescent="0.3">
      <c r="V43" s="3" t="s">
        <v>49</v>
      </c>
      <c r="W43" s="4">
        <v>0.218</v>
      </c>
      <c r="X43" s="4">
        <v>5.0220000000000002</v>
      </c>
      <c r="Y43" s="4">
        <v>1.9390000000000001</v>
      </c>
      <c r="Z43" s="4">
        <f t="shared" si="1"/>
        <v>2.375</v>
      </c>
    </row>
    <row r="44" spans="22:26" x14ac:dyDescent="0.3">
      <c r="V44" s="3" t="s">
        <v>50</v>
      </c>
      <c r="W44" s="4">
        <v>0.34300000000000003</v>
      </c>
      <c r="X44" s="4">
        <v>7.444</v>
      </c>
      <c r="Y44" s="4">
        <v>1.6890000000000001</v>
      </c>
      <c r="Z44" s="4">
        <f t="shared" si="1"/>
        <v>2.375</v>
      </c>
    </row>
    <row r="45" spans="22:26" x14ac:dyDescent="0.3">
      <c r="V45" s="3" t="s">
        <v>51</v>
      </c>
      <c r="W45" s="4">
        <v>0.436</v>
      </c>
      <c r="X45" s="4">
        <v>9.0289999999999999</v>
      </c>
      <c r="Y45" s="4">
        <v>1.5029999999999999</v>
      </c>
      <c r="Z45" s="4">
        <f t="shared" si="1"/>
        <v>2.375</v>
      </c>
    </row>
    <row r="46" spans="22:26" x14ac:dyDescent="0.3">
      <c r="V46" s="3" t="s">
        <v>52</v>
      </c>
      <c r="W46" s="4">
        <v>8.3000000000000004E-2</v>
      </c>
      <c r="X46" s="4">
        <v>2.4750000000000001</v>
      </c>
      <c r="Y46" s="4">
        <v>2.7090000000000001</v>
      </c>
      <c r="Z46" s="4">
        <f t="shared" si="1"/>
        <v>2.875</v>
      </c>
    </row>
    <row r="47" spans="22:26" x14ac:dyDescent="0.3">
      <c r="V47" s="3" t="s">
        <v>53</v>
      </c>
      <c r="W47" s="4">
        <v>0.12</v>
      </c>
      <c r="X47" s="4">
        <v>3.5310000000000001</v>
      </c>
      <c r="Y47" s="4">
        <v>2.6349999999999998</v>
      </c>
      <c r="Z47" s="4">
        <f t="shared" si="1"/>
        <v>2.875</v>
      </c>
    </row>
    <row r="48" spans="22:26" x14ac:dyDescent="0.3">
      <c r="V48" s="3" t="s">
        <v>54</v>
      </c>
      <c r="W48" s="4">
        <v>0.20300000000000001</v>
      </c>
      <c r="X48" s="4">
        <v>5.7930000000000001</v>
      </c>
      <c r="Y48" s="4">
        <v>2.4689999999999999</v>
      </c>
      <c r="Z48" s="4">
        <f t="shared" si="1"/>
        <v>2.875</v>
      </c>
    </row>
    <row r="49" spans="22:26" x14ac:dyDescent="0.3">
      <c r="V49" s="3" t="s">
        <v>55</v>
      </c>
      <c r="W49" s="4">
        <v>0.27600000000000002</v>
      </c>
      <c r="X49" s="4">
        <v>7.6609999999999996</v>
      </c>
      <c r="Y49" s="4">
        <v>2.323</v>
      </c>
      <c r="Z49" s="4">
        <f t="shared" si="1"/>
        <v>2.875</v>
      </c>
    </row>
    <row r="50" spans="22:26" x14ac:dyDescent="0.3">
      <c r="V50" s="3" t="s">
        <v>56</v>
      </c>
      <c r="W50" s="4">
        <v>0.375</v>
      </c>
      <c r="X50" s="4">
        <v>10.01</v>
      </c>
      <c r="Y50" s="4">
        <v>2.125</v>
      </c>
      <c r="Z50" s="4">
        <f t="shared" si="1"/>
        <v>2.875</v>
      </c>
    </row>
    <row r="51" spans="22:26" x14ac:dyDescent="0.3">
      <c r="V51" s="3" t="s">
        <v>57</v>
      </c>
      <c r="W51" s="4">
        <v>0.55200000000000005</v>
      </c>
      <c r="X51" s="4">
        <v>13.7</v>
      </c>
      <c r="Y51" s="4">
        <v>1.7709999999999999</v>
      </c>
      <c r="Z51" s="4">
        <f t="shared" si="1"/>
        <v>2.875</v>
      </c>
    </row>
    <row r="52" spans="22:26" x14ac:dyDescent="0.3">
      <c r="V52" s="3" t="s">
        <v>58</v>
      </c>
      <c r="W52" s="4">
        <v>8.3000000000000004E-2</v>
      </c>
      <c r="X52" s="4">
        <v>3.03</v>
      </c>
      <c r="Y52" s="4">
        <v>3.3340000000000001</v>
      </c>
      <c r="Z52" s="4">
        <f t="shared" si="1"/>
        <v>3.5</v>
      </c>
    </row>
    <row r="53" spans="22:26" x14ac:dyDescent="0.3">
      <c r="V53" s="3" t="s">
        <v>59</v>
      </c>
      <c r="W53" s="4">
        <v>0.12</v>
      </c>
      <c r="X53" s="4">
        <v>4.33</v>
      </c>
      <c r="Y53" s="4">
        <v>3.26</v>
      </c>
      <c r="Z53" s="4">
        <f t="shared" si="1"/>
        <v>3.5</v>
      </c>
    </row>
    <row r="54" spans="22:26" x14ac:dyDescent="0.3">
      <c r="V54" s="3" t="s">
        <v>60</v>
      </c>
      <c r="W54" s="4">
        <v>0.216</v>
      </c>
      <c r="X54" s="4">
        <v>7.58</v>
      </c>
      <c r="Y54" s="4">
        <v>3.0680000000000001</v>
      </c>
      <c r="Z54" s="4">
        <f t="shared" si="1"/>
        <v>3.5</v>
      </c>
    </row>
    <row r="55" spans="22:26" x14ac:dyDescent="0.3">
      <c r="V55" s="3" t="s">
        <v>61</v>
      </c>
      <c r="W55" s="4">
        <v>0.3</v>
      </c>
      <c r="X55" s="4">
        <v>10.25</v>
      </c>
      <c r="Y55" s="4">
        <v>2.9</v>
      </c>
      <c r="Z55" s="4">
        <f t="shared" si="1"/>
        <v>3.5</v>
      </c>
    </row>
    <row r="56" spans="22:26" x14ac:dyDescent="0.3">
      <c r="V56" s="3" t="s">
        <v>62</v>
      </c>
      <c r="W56" s="4">
        <v>0.437</v>
      </c>
      <c r="X56" s="4">
        <v>14.32</v>
      </c>
      <c r="Y56" s="4">
        <v>2.6259999999999999</v>
      </c>
      <c r="Z56" s="4">
        <f t="shared" si="1"/>
        <v>3.5</v>
      </c>
    </row>
    <row r="57" spans="22:26" x14ac:dyDescent="0.3">
      <c r="V57" s="3" t="s">
        <v>63</v>
      </c>
      <c r="W57" s="4">
        <v>0.6</v>
      </c>
      <c r="X57" s="4">
        <v>18.579999999999998</v>
      </c>
      <c r="Y57" s="4">
        <v>2.2999999999999998</v>
      </c>
      <c r="Z57" s="4">
        <f t="shared" si="1"/>
        <v>3.5</v>
      </c>
    </row>
    <row r="58" spans="22:26" x14ac:dyDescent="0.3">
      <c r="V58" s="3" t="s">
        <v>64</v>
      </c>
      <c r="W58" s="4">
        <v>8.3000000000000004E-2</v>
      </c>
      <c r="X58" s="4">
        <v>3.47</v>
      </c>
      <c r="Y58" s="4">
        <v>3.8340000000000001</v>
      </c>
      <c r="Z58" s="4">
        <f t="shared" si="1"/>
        <v>4</v>
      </c>
    </row>
    <row r="59" spans="22:26" x14ac:dyDescent="0.3">
      <c r="V59" s="3" t="s">
        <v>65</v>
      </c>
      <c r="W59" s="4">
        <v>0.12</v>
      </c>
      <c r="X59" s="4">
        <v>4.97</v>
      </c>
      <c r="Y59" s="4">
        <v>3.76</v>
      </c>
      <c r="Z59" s="4">
        <f t="shared" si="1"/>
        <v>4</v>
      </c>
    </row>
    <row r="60" spans="22:26" x14ac:dyDescent="0.3">
      <c r="V60" s="3" t="s">
        <v>66</v>
      </c>
      <c r="W60" s="4">
        <v>0.22600000000000001</v>
      </c>
      <c r="X60" s="4">
        <v>9.11</v>
      </c>
      <c r="Y60" s="4">
        <v>3.548</v>
      </c>
      <c r="Z60" s="4">
        <f t="shared" si="1"/>
        <v>4</v>
      </c>
    </row>
    <row r="61" spans="22:26" x14ac:dyDescent="0.3">
      <c r="V61" s="3" t="s">
        <v>67</v>
      </c>
      <c r="W61" s="4">
        <v>0.318</v>
      </c>
      <c r="X61" s="4">
        <v>12.51</v>
      </c>
      <c r="Y61" s="4">
        <v>3.3639999999999999</v>
      </c>
      <c r="Z61" s="4">
        <f t="shared" si="1"/>
        <v>4</v>
      </c>
    </row>
    <row r="62" spans="22:26" x14ac:dyDescent="0.3">
      <c r="V62" s="3" t="s">
        <v>68</v>
      </c>
      <c r="W62" s="4">
        <v>8.3000000000000004E-2</v>
      </c>
      <c r="X62" s="4">
        <v>3.92</v>
      </c>
      <c r="Y62" s="4">
        <v>4.3339999999999996</v>
      </c>
      <c r="Z62" s="4">
        <f t="shared" si="1"/>
        <v>4.5</v>
      </c>
    </row>
    <row r="63" spans="22:26" x14ac:dyDescent="0.3">
      <c r="V63" s="3" t="s">
        <v>69</v>
      </c>
      <c r="W63" s="4">
        <v>0.12</v>
      </c>
      <c r="X63" s="4">
        <v>5.61</v>
      </c>
      <c r="Y63" s="4">
        <v>4.26</v>
      </c>
      <c r="Z63" s="4">
        <f t="shared" si="1"/>
        <v>4.5</v>
      </c>
    </row>
    <row r="64" spans="22:26" x14ac:dyDescent="0.3">
      <c r="V64" s="3" t="s">
        <v>70</v>
      </c>
      <c r="W64" s="4">
        <v>0.23699999999999999</v>
      </c>
      <c r="X64" s="4">
        <v>10.79</v>
      </c>
      <c r="Y64" s="4">
        <v>4.0259999999999998</v>
      </c>
      <c r="Z64" s="4">
        <f t="shared" si="1"/>
        <v>4.5</v>
      </c>
    </row>
    <row r="65" spans="22:26" x14ac:dyDescent="0.3">
      <c r="V65" s="3" t="s">
        <v>71</v>
      </c>
      <c r="W65" s="4">
        <v>0.33700000000000002</v>
      </c>
      <c r="X65" s="4">
        <v>14.98</v>
      </c>
      <c r="Y65" s="4">
        <v>3.8260000000000001</v>
      </c>
      <c r="Z65" s="4">
        <f t="shared" si="1"/>
        <v>4.5</v>
      </c>
    </row>
    <row r="66" spans="22:26" x14ac:dyDescent="0.3">
      <c r="V66" s="3" t="s">
        <v>72</v>
      </c>
      <c r="W66" s="4">
        <v>0.437</v>
      </c>
      <c r="X66" s="4">
        <v>18.96</v>
      </c>
      <c r="Y66" s="4">
        <v>3.6259999999999999</v>
      </c>
      <c r="Z66" s="4">
        <f t="shared" ref="Z66:Z97" si="2">Y66+(W66*2)</f>
        <v>4.5</v>
      </c>
    </row>
    <row r="67" spans="22:26" x14ac:dyDescent="0.3">
      <c r="V67" s="3" t="s">
        <v>73</v>
      </c>
      <c r="W67" s="4">
        <v>0.53100000000000003</v>
      </c>
      <c r="X67" s="4">
        <v>22.51</v>
      </c>
      <c r="Y67" s="4">
        <v>3.4380000000000002</v>
      </c>
      <c r="Z67" s="4">
        <f t="shared" si="2"/>
        <v>4.5</v>
      </c>
    </row>
    <row r="68" spans="22:26" x14ac:dyDescent="0.3">
      <c r="V68" s="3" t="s">
        <v>74</v>
      </c>
      <c r="W68" s="4">
        <v>0.67400000000000004</v>
      </c>
      <c r="X68" s="4">
        <v>27.54</v>
      </c>
      <c r="Y68" s="4">
        <v>3.1520000000000001</v>
      </c>
      <c r="Z68" s="4">
        <f t="shared" si="2"/>
        <v>4.5</v>
      </c>
    </row>
    <row r="69" spans="22:26" x14ac:dyDescent="0.3">
      <c r="V69" s="3" t="s">
        <v>75</v>
      </c>
      <c r="W69" s="4">
        <v>0.109</v>
      </c>
      <c r="X69" s="4">
        <v>6.35</v>
      </c>
      <c r="Y69" s="4">
        <v>5.3449999999999998</v>
      </c>
      <c r="Z69" s="4">
        <f t="shared" si="2"/>
        <v>5.5629999999999997</v>
      </c>
    </row>
    <row r="70" spans="22:26" x14ac:dyDescent="0.3">
      <c r="V70" s="3" t="s">
        <v>76</v>
      </c>
      <c r="W70" s="4">
        <v>0.13400000000000001</v>
      </c>
      <c r="X70" s="4">
        <v>7.77</v>
      </c>
      <c r="Y70" s="4">
        <v>5.2949999999999999</v>
      </c>
      <c r="Z70" s="4">
        <f t="shared" si="2"/>
        <v>5.5629999999999997</v>
      </c>
    </row>
    <row r="71" spans="22:26" x14ac:dyDescent="0.3">
      <c r="V71" s="3" t="s">
        <v>77</v>
      </c>
      <c r="W71" s="4">
        <v>0.25800000000000001</v>
      </c>
      <c r="X71" s="4">
        <v>14.62</v>
      </c>
      <c r="Y71" s="4">
        <v>5.0469999999999997</v>
      </c>
      <c r="Z71" s="4">
        <f t="shared" si="2"/>
        <v>5.5629999999999997</v>
      </c>
    </row>
    <row r="72" spans="22:26" x14ac:dyDescent="0.3">
      <c r="V72" s="3" t="s">
        <v>78</v>
      </c>
      <c r="W72" s="4">
        <v>0.375</v>
      </c>
      <c r="X72" s="4">
        <v>20.78</v>
      </c>
      <c r="Y72" s="4">
        <v>4.8129999999999997</v>
      </c>
      <c r="Z72" s="4">
        <f t="shared" si="2"/>
        <v>5.5629999999999997</v>
      </c>
    </row>
    <row r="73" spans="22:26" x14ac:dyDescent="0.3">
      <c r="V73" s="3" t="s">
        <v>79</v>
      </c>
      <c r="W73" s="4">
        <v>0.5</v>
      </c>
      <c r="X73" s="4">
        <v>27.04</v>
      </c>
      <c r="Y73" s="4">
        <v>4.5629999999999997</v>
      </c>
      <c r="Z73" s="4">
        <f t="shared" si="2"/>
        <v>5.5629999999999997</v>
      </c>
    </row>
    <row r="74" spans="22:26" x14ac:dyDescent="0.3">
      <c r="V74" s="3" t="s">
        <v>80</v>
      </c>
      <c r="W74" s="4">
        <v>0.625</v>
      </c>
      <c r="X74" s="4">
        <v>32.96</v>
      </c>
      <c r="Y74" s="4">
        <v>4.3129999999999997</v>
      </c>
      <c r="Z74" s="4">
        <f t="shared" si="2"/>
        <v>5.5629999999999997</v>
      </c>
    </row>
    <row r="75" spans="22:26" x14ac:dyDescent="0.3">
      <c r="V75" s="3" t="s">
        <v>81</v>
      </c>
      <c r="W75" s="4">
        <v>0.75</v>
      </c>
      <c r="X75" s="4">
        <v>38.549999999999997</v>
      </c>
      <c r="Y75" s="4">
        <v>4.0629999999999997</v>
      </c>
      <c r="Z75" s="4">
        <f t="shared" si="2"/>
        <v>5.5629999999999997</v>
      </c>
    </row>
    <row r="76" spans="22:26" x14ac:dyDescent="0.3">
      <c r="V76" s="3" t="s">
        <v>82</v>
      </c>
      <c r="W76" s="4">
        <v>0.109</v>
      </c>
      <c r="X76" s="4">
        <v>5.37</v>
      </c>
      <c r="Y76" s="4">
        <v>6.407</v>
      </c>
      <c r="Z76" s="4">
        <f t="shared" si="2"/>
        <v>6.625</v>
      </c>
    </row>
    <row r="77" spans="22:26" x14ac:dyDescent="0.3">
      <c r="V77" s="3" t="s">
        <v>83</v>
      </c>
      <c r="W77" s="4">
        <v>0.13400000000000001</v>
      </c>
      <c r="X77" s="4">
        <v>9.2899999999999991</v>
      </c>
      <c r="Y77" s="4">
        <v>6.3570000000000002</v>
      </c>
      <c r="Z77" s="4">
        <f t="shared" si="2"/>
        <v>6.625</v>
      </c>
    </row>
    <row r="78" spans="22:26" x14ac:dyDescent="0.3">
      <c r="V78" s="3" t="s">
        <v>84</v>
      </c>
      <c r="W78" s="4">
        <v>0.28000000000000003</v>
      </c>
      <c r="X78" s="4">
        <v>18.97</v>
      </c>
      <c r="Y78" s="4">
        <v>6.0650000000000004</v>
      </c>
      <c r="Z78" s="4">
        <f t="shared" si="2"/>
        <v>6.625</v>
      </c>
    </row>
    <row r="79" spans="22:26" x14ac:dyDescent="0.3">
      <c r="V79" s="3" t="s">
        <v>85</v>
      </c>
      <c r="W79" s="4">
        <v>0.432</v>
      </c>
      <c r="X79" s="4">
        <v>28.57</v>
      </c>
      <c r="Y79" s="4">
        <v>5.7610000000000001</v>
      </c>
      <c r="Z79" s="4">
        <f t="shared" si="2"/>
        <v>6.625</v>
      </c>
    </row>
    <row r="80" spans="22:26" x14ac:dyDescent="0.3">
      <c r="V80" s="3" t="s">
        <v>86</v>
      </c>
      <c r="W80" s="4">
        <v>0.56200000000000006</v>
      </c>
      <c r="X80" s="4">
        <v>36.39</v>
      </c>
      <c r="Y80" s="4">
        <v>5.5010000000000003</v>
      </c>
      <c r="Z80" s="4">
        <f t="shared" si="2"/>
        <v>6.625</v>
      </c>
    </row>
    <row r="81" spans="22:26" x14ac:dyDescent="0.3">
      <c r="V81" s="3" t="s">
        <v>87</v>
      </c>
      <c r="W81" s="4">
        <v>0.71799999999999997</v>
      </c>
      <c r="X81" s="4">
        <v>45.3</v>
      </c>
      <c r="Y81" s="4">
        <v>5.1890000000000001</v>
      </c>
      <c r="Z81" s="4">
        <f t="shared" si="2"/>
        <v>6.625</v>
      </c>
    </row>
    <row r="82" spans="22:26" x14ac:dyDescent="0.3">
      <c r="V82" s="3" t="s">
        <v>88</v>
      </c>
      <c r="W82" s="4">
        <v>0.86399999999999999</v>
      </c>
      <c r="X82" s="4">
        <v>53.16</v>
      </c>
      <c r="Y82" s="4">
        <v>4.8970000000000002</v>
      </c>
      <c r="Z82" s="4">
        <f t="shared" si="2"/>
        <v>6.625</v>
      </c>
    </row>
    <row r="83" spans="22:26" x14ac:dyDescent="0.3">
      <c r="V83" s="3" t="s">
        <v>89</v>
      </c>
      <c r="W83" s="4">
        <v>0.109</v>
      </c>
      <c r="X83" s="4">
        <v>9.91</v>
      </c>
      <c r="Y83" s="4">
        <v>8.407</v>
      </c>
      <c r="Z83" s="4">
        <f t="shared" si="2"/>
        <v>8.625</v>
      </c>
    </row>
    <row r="84" spans="22:26" x14ac:dyDescent="0.3">
      <c r="V84" s="3" t="s">
        <v>90</v>
      </c>
      <c r="W84" s="4">
        <v>0.14799999999999999</v>
      </c>
      <c r="X84" s="4">
        <v>13.4</v>
      </c>
      <c r="Y84" s="4">
        <v>8.3290000000000006</v>
      </c>
      <c r="Z84" s="4">
        <f t="shared" si="2"/>
        <v>8.625</v>
      </c>
    </row>
    <row r="85" spans="22:26" x14ac:dyDescent="0.3">
      <c r="V85" s="3" t="s">
        <v>91</v>
      </c>
      <c r="W85" s="4">
        <v>0.25</v>
      </c>
      <c r="X85" s="4">
        <v>22.36</v>
      </c>
      <c r="Y85" s="4">
        <v>8.125</v>
      </c>
      <c r="Z85" s="4">
        <f t="shared" si="2"/>
        <v>8.625</v>
      </c>
    </row>
    <row r="86" spans="22:26" x14ac:dyDescent="0.3">
      <c r="V86" s="3" t="s">
        <v>92</v>
      </c>
      <c r="W86" s="4">
        <v>0.27700000000000002</v>
      </c>
      <c r="X86" s="4">
        <v>24.7</v>
      </c>
      <c r="Y86" s="4">
        <v>8.0709999999999997</v>
      </c>
      <c r="Z86" s="4">
        <f t="shared" si="2"/>
        <v>8.625</v>
      </c>
    </row>
    <row r="87" spans="22:26" x14ac:dyDescent="0.3">
      <c r="V87" s="3" t="s">
        <v>93</v>
      </c>
      <c r="W87" s="4">
        <v>0.32200000000000001</v>
      </c>
      <c r="X87" s="4">
        <v>28.55</v>
      </c>
      <c r="Y87" s="4">
        <v>7.9809999999999999</v>
      </c>
      <c r="Z87" s="4">
        <f t="shared" si="2"/>
        <v>8.625</v>
      </c>
    </row>
    <row r="88" spans="22:26" x14ac:dyDescent="0.3">
      <c r="V88" s="3" t="s">
        <v>94</v>
      </c>
      <c r="W88" s="4">
        <v>0.40600000000000003</v>
      </c>
      <c r="X88" s="4">
        <v>35.64</v>
      </c>
      <c r="Y88" s="4">
        <v>7.8129999999999997</v>
      </c>
      <c r="Z88" s="4">
        <f t="shared" si="2"/>
        <v>8.625</v>
      </c>
    </row>
    <row r="89" spans="22:26" x14ac:dyDescent="0.3">
      <c r="V89" s="3" t="s">
        <v>95</v>
      </c>
      <c r="W89" s="4">
        <v>0.5</v>
      </c>
      <c r="X89" s="4">
        <v>43.39</v>
      </c>
      <c r="Y89" s="4">
        <v>7.625</v>
      </c>
      <c r="Z89" s="4">
        <f t="shared" si="2"/>
        <v>8.625</v>
      </c>
    </row>
    <row r="90" spans="22:26" x14ac:dyDescent="0.3">
      <c r="V90" s="3" t="s">
        <v>96</v>
      </c>
      <c r="W90" s="4">
        <v>0.59299999999999997</v>
      </c>
      <c r="X90" s="4">
        <v>50.87</v>
      </c>
      <c r="Y90" s="4">
        <v>7.4390000000000001</v>
      </c>
      <c r="Z90" s="4">
        <f t="shared" si="2"/>
        <v>8.625</v>
      </c>
    </row>
    <row r="91" spans="22:26" x14ac:dyDescent="0.3">
      <c r="V91" s="3" t="s">
        <v>97</v>
      </c>
      <c r="W91" s="4">
        <v>0.71799999999999997</v>
      </c>
      <c r="X91" s="4">
        <v>60.63</v>
      </c>
      <c r="Y91" s="4">
        <v>7.1890000000000001</v>
      </c>
      <c r="Z91" s="4">
        <f t="shared" si="2"/>
        <v>8.625</v>
      </c>
    </row>
    <row r="92" spans="22:26" x14ac:dyDescent="0.3">
      <c r="V92" s="3" t="s">
        <v>98</v>
      </c>
      <c r="W92" s="4">
        <v>0.81200000000000006</v>
      </c>
      <c r="X92" s="4">
        <v>67.760000000000005</v>
      </c>
      <c r="Y92" s="4">
        <v>7.0010000000000003</v>
      </c>
      <c r="Z92" s="4">
        <f t="shared" si="2"/>
        <v>8.625</v>
      </c>
    </row>
    <row r="93" spans="22:26" x14ac:dyDescent="0.3">
      <c r="V93" s="3" t="s">
        <v>99</v>
      </c>
      <c r="W93" s="4">
        <v>0.875</v>
      </c>
      <c r="X93" s="4">
        <v>72.42</v>
      </c>
      <c r="Y93" s="4">
        <v>6.875</v>
      </c>
      <c r="Z93" s="4">
        <f t="shared" si="2"/>
        <v>8.625</v>
      </c>
    </row>
    <row r="94" spans="22:26" x14ac:dyDescent="0.3">
      <c r="V94" s="3" t="s">
        <v>100</v>
      </c>
      <c r="W94" s="4">
        <v>0.90600000000000003</v>
      </c>
      <c r="X94" s="4">
        <v>74.69</v>
      </c>
      <c r="Y94" s="4">
        <v>6.8129999999999997</v>
      </c>
      <c r="Z94" s="4">
        <f t="shared" si="2"/>
        <v>8.625</v>
      </c>
    </row>
    <row r="95" spans="22:26" x14ac:dyDescent="0.3">
      <c r="V95" s="3" t="s">
        <v>101</v>
      </c>
      <c r="W95" s="4">
        <v>0.13400000000000001</v>
      </c>
      <c r="X95" s="4">
        <v>15.15</v>
      </c>
      <c r="Y95" s="4">
        <v>10.481999999999999</v>
      </c>
      <c r="Z95" s="4">
        <f t="shared" si="2"/>
        <v>10.75</v>
      </c>
    </row>
    <row r="96" spans="22:26" x14ac:dyDescent="0.3">
      <c r="V96" s="3" t="s">
        <v>102</v>
      </c>
      <c r="W96" s="4">
        <v>0.16500000000000001</v>
      </c>
      <c r="X96" s="4">
        <v>18.7</v>
      </c>
      <c r="Y96" s="4">
        <v>10.42</v>
      </c>
      <c r="Z96" s="4">
        <f t="shared" si="2"/>
        <v>10.75</v>
      </c>
    </row>
    <row r="97" spans="22:26" x14ac:dyDescent="0.3">
      <c r="V97" s="3" t="s">
        <v>103</v>
      </c>
      <c r="W97" s="4">
        <v>0.25</v>
      </c>
      <c r="X97" s="4">
        <v>28.04</v>
      </c>
      <c r="Y97" s="4">
        <v>10.25</v>
      </c>
      <c r="Z97" s="4">
        <f t="shared" si="2"/>
        <v>10.75</v>
      </c>
    </row>
    <row r="98" spans="22:26" x14ac:dyDescent="0.3">
      <c r="V98" s="3" t="s">
        <v>104</v>
      </c>
      <c r="W98" s="4">
        <v>0.307</v>
      </c>
      <c r="X98" s="4">
        <v>34.24</v>
      </c>
      <c r="Y98" s="4">
        <v>10.135999999999999</v>
      </c>
      <c r="Z98" s="4">
        <f t="shared" ref="Z98:Z129" si="3">Y98+(W98*2)</f>
        <v>10.75</v>
      </c>
    </row>
    <row r="99" spans="22:26" x14ac:dyDescent="0.3">
      <c r="V99" s="3" t="s">
        <v>105</v>
      </c>
      <c r="W99" s="4">
        <v>0.36499999999999999</v>
      </c>
      <c r="X99" s="4">
        <v>40.479999999999997</v>
      </c>
      <c r="Y99" s="4">
        <v>10.02</v>
      </c>
      <c r="Z99" s="4">
        <f t="shared" si="3"/>
        <v>10.75</v>
      </c>
    </row>
    <row r="100" spans="22:26" x14ac:dyDescent="0.3">
      <c r="V100" s="3" t="s">
        <v>106</v>
      </c>
      <c r="W100" s="4">
        <v>0.5</v>
      </c>
      <c r="X100" s="4">
        <v>54.74</v>
      </c>
      <c r="Y100" s="4">
        <v>9.75</v>
      </c>
      <c r="Z100" s="4">
        <f t="shared" si="3"/>
        <v>10.75</v>
      </c>
    </row>
    <row r="101" spans="22:26" x14ac:dyDescent="0.3">
      <c r="V101" s="3" t="s">
        <v>107</v>
      </c>
      <c r="W101" s="4">
        <v>0.59299999999999997</v>
      </c>
      <c r="X101" s="4">
        <v>64.33</v>
      </c>
      <c r="Y101" s="4">
        <v>9.5640000000000001</v>
      </c>
      <c r="Z101" s="4">
        <f t="shared" si="3"/>
        <v>10.75</v>
      </c>
    </row>
    <row r="102" spans="22:26" x14ac:dyDescent="0.3">
      <c r="V102" s="3" t="s">
        <v>108</v>
      </c>
      <c r="W102" s="4">
        <v>0.71799999999999997</v>
      </c>
      <c r="X102" s="4">
        <v>76.930000000000007</v>
      </c>
      <c r="Y102" s="4">
        <v>9.3140000000000001</v>
      </c>
      <c r="Z102" s="4">
        <f t="shared" si="3"/>
        <v>10.75</v>
      </c>
    </row>
    <row r="103" spans="22:26" x14ac:dyDescent="0.3">
      <c r="V103" s="3" t="s">
        <v>109</v>
      </c>
      <c r="W103" s="4">
        <v>0.84299999999999997</v>
      </c>
      <c r="X103" s="4">
        <v>89.2</v>
      </c>
      <c r="Y103" s="4">
        <v>9.0640000000000001</v>
      </c>
      <c r="Z103" s="4">
        <f t="shared" si="3"/>
        <v>10.75</v>
      </c>
    </row>
    <row r="104" spans="22:26" x14ac:dyDescent="0.3">
      <c r="V104" s="3" t="s">
        <v>110</v>
      </c>
      <c r="W104" s="4">
        <v>1</v>
      </c>
      <c r="X104" s="4">
        <v>104.13</v>
      </c>
      <c r="Y104" s="4">
        <v>8.75</v>
      </c>
      <c r="Z104" s="4">
        <f t="shared" si="3"/>
        <v>10.75</v>
      </c>
    </row>
    <row r="105" spans="22:26" x14ac:dyDescent="0.3">
      <c r="V105" s="3" t="s">
        <v>111</v>
      </c>
      <c r="W105" s="4">
        <v>1.125</v>
      </c>
      <c r="X105" s="4">
        <v>115.65</v>
      </c>
      <c r="Y105" s="4">
        <v>8.5</v>
      </c>
      <c r="Z105" s="4">
        <f t="shared" si="3"/>
        <v>10.75</v>
      </c>
    </row>
    <row r="106" spans="22:26" x14ac:dyDescent="0.3">
      <c r="V106" s="3" t="s">
        <v>112</v>
      </c>
      <c r="W106" s="4">
        <v>0.16500000000000001</v>
      </c>
      <c r="X106" s="4">
        <v>19.559999999999999</v>
      </c>
      <c r="Y106" s="4">
        <v>12.42</v>
      </c>
      <c r="Z106" s="4">
        <f t="shared" si="3"/>
        <v>12.75</v>
      </c>
    </row>
    <row r="107" spans="22:26" x14ac:dyDescent="0.3">
      <c r="V107" s="3" t="s">
        <v>113</v>
      </c>
      <c r="W107" s="4">
        <v>0.18</v>
      </c>
      <c r="X107" s="4">
        <v>24.2</v>
      </c>
      <c r="Y107" s="4">
        <v>12.39</v>
      </c>
      <c r="Z107" s="4">
        <f t="shared" si="3"/>
        <v>12.75</v>
      </c>
    </row>
    <row r="108" spans="22:26" x14ac:dyDescent="0.3">
      <c r="V108" s="3" t="s">
        <v>114</v>
      </c>
      <c r="W108" s="4">
        <v>0.25</v>
      </c>
      <c r="X108" s="4">
        <v>33.380000000000003</v>
      </c>
      <c r="Y108" s="4">
        <v>12.25</v>
      </c>
      <c r="Z108" s="4">
        <f t="shared" si="3"/>
        <v>12.75</v>
      </c>
    </row>
    <row r="109" spans="22:26" x14ac:dyDescent="0.3">
      <c r="V109" s="3" t="s">
        <v>115</v>
      </c>
      <c r="W109" s="4">
        <v>0.33</v>
      </c>
      <c r="X109" s="4">
        <v>43.77</v>
      </c>
      <c r="Y109" s="4">
        <v>12.09</v>
      </c>
      <c r="Z109" s="4">
        <f t="shared" si="3"/>
        <v>12.75</v>
      </c>
    </row>
    <row r="110" spans="22:26" x14ac:dyDescent="0.3">
      <c r="V110" s="3" t="s">
        <v>116</v>
      </c>
      <c r="W110" s="4">
        <v>0.375</v>
      </c>
      <c r="X110" s="4">
        <v>49.56</v>
      </c>
      <c r="Y110" s="4">
        <v>12</v>
      </c>
      <c r="Z110" s="4">
        <f t="shared" si="3"/>
        <v>12.75</v>
      </c>
    </row>
    <row r="111" spans="22:26" x14ac:dyDescent="0.3">
      <c r="V111" s="3" t="s">
        <v>117</v>
      </c>
      <c r="W111" s="4">
        <v>0.40600000000000003</v>
      </c>
      <c r="X111" s="4">
        <v>53.53</v>
      </c>
      <c r="Y111" s="4">
        <v>11.938000000000001</v>
      </c>
      <c r="Z111" s="4">
        <f t="shared" si="3"/>
        <v>12.75</v>
      </c>
    </row>
    <row r="112" spans="22:26" x14ac:dyDescent="0.3">
      <c r="V112" s="3" t="s">
        <v>118</v>
      </c>
      <c r="W112" s="4">
        <v>0.5</v>
      </c>
      <c r="X112" s="4">
        <v>65.42</v>
      </c>
      <c r="Y112" s="4">
        <v>11.75</v>
      </c>
      <c r="Z112" s="4">
        <f t="shared" si="3"/>
        <v>12.75</v>
      </c>
    </row>
    <row r="113" spans="22:26" x14ac:dyDescent="0.3">
      <c r="V113" s="3" t="s">
        <v>119</v>
      </c>
      <c r="W113" s="4">
        <v>0.56200000000000006</v>
      </c>
      <c r="X113" s="4">
        <v>73.16</v>
      </c>
      <c r="Y113" s="4">
        <v>11.625999999999999</v>
      </c>
      <c r="Z113" s="4">
        <f t="shared" si="3"/>
        <v>12.75</v>
      </c>
    </row>
    <row r="114" spans="22:26" x14ac:dyDescent="0.3">
      <c r="V114" s="3" t="s">
        <v>120</v>
      </c>
      <c r="W114" s="4">
        <v>0.68700000000000006</v>
      </c>
      <c r="X114" s="4">
        <v>88.51</v>
      </c>
      <c r="Y114" s="4">
        <v>11.375999999999999</v>
      </c>
      <c r="Z114" s="4">
        <f t="shared" si="3"/>
        <v>12.75</v>
      </c>
    </row>
    <row r="115" spans="22:26" x14ac:dyDescent="0.3">
      <c r="V115" s="3" t="s">
        <v>121</v>
      </c>
      <c r="W115" s="4">
        <v>0.84299999999999997</v>
      </c>
      <c r="X115" s="4">
        <v>107.2</v>
      </c>
      <c r="Y115" s="4">
        <v>11.064</v>
      </c>
      <c r="Z115" s="4">
        <f t="shared" si="3"/>
        <v>12.75</v>
      </c>
    </row>
    <row r="116" spans="22:26" x14ac:dyDescent="0.3">
      <c r="V116" s="3" t="s">
        <v>122</v>
      </c>
      <c r="W116" s="4">
        <v>1</v>
      </c>
      <c r="X116" s="4">
        <v>125.49</v>
      </c>
      <c r="Y116" s="4">
        <v>10.75</v>
      </c>
      <c r="Z116" s="4">
        <f t="shared" si="3"/>
        <v>12.75</v>
      </c>
    </row>
    <row r="117" spans="22:26" x14ac:dyDescent="0.3">
      <c r="V117" s="3" t="s">
        <v>123</v>
      </c>
      <c r="W117" s="4">
        <v>1.125</v>
      </c>
      <c r="X117" s="4">
        <v>139.68</v>
      </c>
      <c r="Y117" s="4">
        <v>10.5</v>
      </c>
      <c r="Z117" s="4">
        <f t="shared" si="3"/>
        <v>12.75</v>
      </c>
    </row>
    <row r="118" spans="22:26" x14ac:dyDescent="0.3">
      <c r="V118" s="3" t="s">
        <v>124</v>
      </c>
      <c r="W118" s="4">
        <v>1.3120000000000001</v>
      </c>
      <c r="X118" s="4">
        <v>160.27000000000001</v>
      </c>
      <c r="Y118" s="4">
        <v>10.125999999999999</v>
      </c>
      <c r="Z118" s="4">
        <f t="shared" si="3"/>
        <v>12.75</v>
      </c>
    </row>
    <row r="119" spans="22:26" x14ac:dyDescent="0.3">
      <c r="V119" s="3" t="s">
        <v>125</v>
      </c>
      <c r="W119" s="4">
        <v>0.25</v>
      </c>
      <c r="X119" s="4">
        <v>36.71</v>
      </c>
      <c r="Y119" s="4">
        <v>13.5</v>
      </c>
      <c r="Z119" s="4">
        <f t="shared" si="3"/>
        <v>14</v>
      </c>
    </row>
    <row r="120" spans="22:26" x14ac:dyDescent="0.3">
      <c r="V120" s="3" t="s">
        <v>126</v>
      </c>
      <c r="W120" s="4">
        <v>0.312</v>
      </c>
      <c r="X120" s="4">
        <v>45.68</v>
      </c>
      <c r="Y120" s="4">
        <v>13.375999999999999</v>
      </c>
      <c r="Z120" s="4">
        <f t="shared" si="3"/>
        <v>14</v>
      </c>
    </row>
    <row r="121" spans="22:26" x14ac:dyDescent="0.3">
      <c r="V121" s="3" t="s">
        <v>127</v>
      </c>
      <c r="W121" s="4">
        <v>0.375</v>
      </c>
      <c r="X121" s="4">
        <v>54.57</v>
      </c>
      <c r="Y121" s="4">
        <v>13.25</v>
      </c>
      <c r="Z121" s="4">
        <f t="shared" si="3"/>
        <v>14</v>
      </c>
    </row>
    <row r="122" spans="22:26" x14ac:dyDescent="0.3">
      <c r="V122" s="3" t="s">
        <v>128</v>
      </c>
      <c r="W122" s="4">
        <v>0.437</v>
      </c>
      <c r="X122" s="4">
        <v>63.37</v>
      </c>
      <c r="Y122" s="4">
        <v>13.125999999999999</v>
      </c>
      <c r="Z122" s="4">
        <f t="shared" si="3"/>
        <v>14</v>
      </c>
    </row>
    <row r="123" spans="22:26" x14ac:dyDescent="0.3">
      <c r="V123" s="3" t="s">
        <v>129</v>
      </c>
      <c r="W123" s="4">
        <v>0.5</v>
      </c>
      <c r="X123" s="4">
        <v>72.09</v>
      </c>
      <c r="Y123" s="4">
        <v>13</v>
      </c>
      <c r="Z123" s="4">
        <f t="shared" si="3"/>
        <v>14</v>
      </c>
    </row>
    <row r="124" spans="22:26" x14ac:dyDescent="0.3">
      <c r="V124" s="3" t="s">
        <v>130</v>
      </c>
      <c r="W124" s="4">
        <v>0.59299999999999997</v>
      </c>
      <c r="X124" s="4">
        <v>84.91</v>
      </c>
      <c r="Y124" s="4">
        <v>12.814</v>
      </c>
      <c r="Z124" s="4">
        <f t="shared" si="3"/>
        <v>14</v>
      </c>
    </row>
    <row r="125" spans="22:26" x14ac:dyDescent="0.3">
      <c r="V125" s="3" t="s">
        <v>131</v>
      </c>
      <c r="W125" s="4">
        <v>0.75</v>
      </c>
      <c r="X125" s="4">
        <v>106.13</v>
      </c>
      <c r="Y125" s="4">
        <v>12.5</v>
      </c>
      <c r="Z125" s="4">
        <f t="shared" si="3"/>
        <v>14</v>
      </c>
    </row>
    <row r="126" spans="22:26" x14ac:dyDescent="0.3">
      <c r="V126" s="3" t="s">
        <v>132</v>
      </c>
      <c r="W126" s="4">
        <v>0.93700000000000006</v>
      </c>
      <c r="X126" s="4">
        <v>130.72999999999999</v>
      </c>
      <c r="Y126" s="4">
        <v>12.125999999999999</v>
      </c>
      <c r="Z126" s="4">
        <f t="shared" si="3"/>
        <v>14</v>
      </c>
    </row>
    <row r="127" spans="22:26" x14ac:dyDescent="0.3">
      <c r="V127" s="3" t="s">
        <v>133</v>
      </c>
      <c r="W127" s="4">
        <v>1.093</v>
      </c>
      <c r="X127" s="4">
        <v>150.66999999999999</v>
      </c>
      <c r="Y127" s="4">
        <v>11.814</v>
      </c>
      <c r="Z127" s="4">
        <f t="shared" si="3"/>
        <v>14</v>
      </c>
    </row>
    <row r="128" spans="22:26" x14ac:dyDescent="0.3">
      <c r="V128" s="3" t="s">
        <v>134</v>
      </c>
      <c r="W128" s="4">
        <v>1.25</v>
      </c>
      <c r="X128" s="4">
        <v>170.22</v>
      </c>
      <c r="Y128" s="4">
        <v>11.5</v>
      </c>
      <c r="Z128" s="4">
        <f t="shared" si="3"/>
        <v>14</v>
      </c>
    </row>
    <row r="129" spans="22:26" x14ac:dyDescent="0.3">
      <c r="V129" s="3" t="s">
        <v>135</v>
      </c>
      <c r="W129" s="4">
        <v>1.4059999999999999</v>
      </c>
      <c r="X129" s="4">
        <v>189.12</v>
      </c>
      <c r="Y129" s="4">
        <v>11.188000000000001</v>
      </c>
      <c r="Z129" s="4">
        <f t="shared" si="3"/>
        <v>14</v>
      </c>
    </row>
    <row r="130" spans="22:26" x14ac:dyDescent="0.3">
      <c r="V130" s="3" t="s">
        <v>136</v>
      </c>
      <c r="W130" s="4">
        <v>0.25</v>
      </c>
      <c r="X130" s="4">
        <v>24.05</v>
      </c>
      <c r="Y130" s="4">
        <v>15.5</v>
      </c>
      <c r="Z130" s="4">
        <f t="shared" ref="Z130:Z161" si="4">Y130+(W130*2)</f>
        <v>16</v>
      </c>
    </row>
    <row r="131" spans="22:26" x14ac:dyDescent="0.3">
      <c r="V131" s="3" t="s">
        <v>137</v>
      </c>
      <c r="W131" s="4">
        <v>0.312</v>
      </c>
      <c r="X131" s="4">
        <v>52.36</v>
      </c>
      <c r="Y131" s="4">
        <v>15.375999999999999</v>
      </c>
      <c r="Z131" s="4">
        <f t="shared" si="4"/>
        <v>16</v>
      </c>
    </row>
    <row r="132" spans="22:26" x14ac:dyDescent="0.3">
      <c r="V132" s="3" t="s">
        <v>138</v>
      </c>
      <c r="W132" s="4">
        <v>0.375</v>
      </c>
      <c r="X132" s="4">
        <v>62.58</v>
      </c>
      <c r="Y132" s="4">
        <v>15.25</v>
      </c>
      <c r="Z132" s="4">
        <f t="shared" si="4"/>
        <v>16</v>
      </c>
    </row>
    <row r="133" spans="22:26" x14ac:dyDescent="0.3">
      <c r="V133" s="3" t="s">
        <v>139</v>
      </c>
      <c r="W133" s="4">
        <v>0.5</v>
      </c>
      <c r="X133" s="4">
        <v>82.77</v>
      </c>
      <c r="Y133" s="4">
        <v>15</v>
      </c>
      <c r="Z133" s="4">
        <f t="shared" si="4"/>
        <v>16</v>
      </c>
    </row>
    <row r="134" spans="22:26" x14ac:dyDescent="0.3">
      <c r="V134" s="3" t="s">
        <v>140</v>
      </c>
      <c r="W134" s="4">
        <v>0.65600000000000003</v>
      </c>
      <c r="X134" s="4">
        <v>107.5</v>
      </c>
      <c r="Y134" s="4">
        <v>14.688000000000001</v>
      </c>
      <c r="Z134" s="4">
        <f t="shared" si="4"/>
        <v>16</v>
      </c>
    </row>
    <row r="135" spans="22:26" x14ac:dyDescent="0.3">
      <c r="V135" s="3" t="s">
        <v>141</v>
      </c>
      <c r="W135" s="4">
        <v>0.84299999999999997</v>
      </c>
      <c r="X135" s="4">
        <v>136.46</v>
      </c>
      <c r="Y135" s="4">
        <v>14.314</v>
      </c>
      <c r="Z135" s="4">
        <f t="shared" si="4"/>
        <v>16</v>
      </c>
    </row>
    <row r="136" spans="22:26" x14ac:dyDescent="0.3">
      <c r="V136" s="3" t="s">
        <v>142</v>
      </c>
      <c r="W136" s="4">
        <v>1.0309999999999999</v>
      </c>
      <c r="X136" s="4">
        <v>164.83</v>
      </c>
      <c r="Y136" s="4">
        <v>13.938000000000001</v>
      </c>
      <c r="Z136" s="4">
        <f t="shared" si="4"/>
        <v>16</v>
      </c>
    </row>
    <row r="137" spans="22:26" x14ac:dyDescent="0.3">
      <c r="V137" s="3" t="s">
        <v>143</v>
      </c>
      <c r="W137" s="4">
        <v>1.218</v>
      </c>
      <c r="X137" s="4">
        <v>192.29</v>
      </c>
      <c r="Y137" s="4">
        <v>13.564</v>
      </c>
      <c r="Z137" s="4">
        <f t="shared" si="4"/>
        <v>16</v>
      </c>
    </row>
    <row r="138" spans="22:26" x14ac:dyDescent="0.3">
      <c r="V138" s="3" t="s">
        <v>144</v>
      </c>
      <c r="W138" s="4">
        <v>1.4370000000000001</v>
      </c>
      <c r="X138" s="4">
        <v>223.5</v>
      </c>
      <c r="Y138" s="4">
        <v>13.125999999999999</v>
      </c>
      <c r="Z138" s="4">
        <f t="shared" si="4"/>
        <v>16</v>
      </c>
    </row>
    <row r="139" spans="22:26" x14ac:dyDescent="0.3">
      <c r="V139" s="3" t="s">
        <v>145</v>
      </c>
      <c r="W139" s="4">
        <v>1.593</v>
      </c>
      <c r="X139" s="4">
        <v>245.11</v>
      </c>
      <c r="Y139" s="4">
        <v>12.814</v>
      </c>
      <c r="Z139" s="4">
        <f t="shared" si="4"/>
        <v>16</v>
      </c>
    </row>
    <row r="140" spans="22:26" x14ac:dyDescent="0.3">
      <c r="V140" t="s">
        <v>146</v>
      </c>
      <c r="W140" s="4">
        <v>0.25</v>
      </c>
      <c r="X140" s="4">
        <v>47.39</v>
      </c>
      <c r="Y140" s="4">
        <v>17.5</v>
      </c>
      <c r="Z140" s="4">
        <f t="shared" si="4"/>
        <v>18</v>
      </c>
    </row>
    <row r="141" spans="22:26" x14ac:dyDescent="0.3">
      <c r="V141" t="s">
        <v>147</v>
      </c>
      <c r="W141" s="4">
        <v>0.312</v>
      </c>
      <c r="X141" s="4">
        <v>59.03</v>
      </c>
      <c r="Y141" s="4">
        <v>17.376000000000001</v>
      </c>
      <c r="Z141" s="4">
        <f t="shared" si="4"/>
        <v>18</v>
      </c>
    </row>
    <row r="142" spans="22:26" x14ac:dyDescent="0.3">
      <c r="V142" t="s">
        <v>148</v>
      </c>
      <c r="W142" s="4">
        <v>0.375</v>
      </c>
      <c r="X142" s="4">
        <v>70.59</v>
      </c>
      <c r="Y142" s="4">
        <v>17.25</v>
      </c>
      <c r="Z142" s="4">
        <f t="shared" si="4"/>
        <v>18</v>
      </c>
    </row>
    <row r="143" spans="22:26" x14ac:dyDescent="0.3">
      <c r="V143" t="s">
        <v>149</v>
      </c>
      <c r="W143" s="4">
        <v>0.437</v>
      </c>
      <c r="X143" s="4">
        <v>82.06</v>
      </c>
      <c r="Y143" s="4">
        <v>17.126000000000001</v>
      </c>
      <c r="Z143" s="4">
        <f t="shared" si="4"/>
        <v>18</v>
      </c>
    </row>
    <row r="144" spans="22:26" x14ac:dyDescent="0.3">
      <c r="V144" t="s">
        <v>150</v>
      </c>
      <c r="W144" s="4">
        <v>0.5</v>
      </c>
      <c r="X144" s="4">
        <v>93.45</v>
      </c>
      <c r="Y144" s="4">
        <v>17</v>
      </c>
      <c r="Z144" s="4">
        <f t="shared" si="4"/>
        <v>18</v>
      </c>
    </row>
    <row r="145" spans="22:26" x14ac:dyDescent="0.3">
      <c r="V145" t="s">
        <v>151</v>
      </c>
      <c r="W145" s="4">
        <v>0.56200000000000006</v>
      </c>
      <c r="X145" s="4">
        <v>104.75</v>
      </c>
      <c r="Y145" s="4">
        <v>16.876000000000001</v>
      </c>
      <c r="Z145" s="4">
        <f t="shared" si="4"/>
        <v>18</v>
      </c>
    </row>
    <row r="146" spans="22:26" x14ac:dyDescent="0.3">
      <c r="V146" t="s">
        <v>152</v>
      </c>
      <c r="W146" s="4">
        <v>0.75</v>
      </c>
      <c r="X146" s="4">
        <v>138.16999999999999</v>
      </c>
      <c r="Y146" s="4">
        <v>16.5</v>
      </c>
      <c r="Z146" s="4">
        <f t="shared" si="4"/>
        <v>18</v>
      </c>
    </row>
    <row r="147" spans="22:26" x14ac:dyDescent="0.3">
      <c r="V147" t="s">
        <v>153</v>
      </c>
      <c r="W147" s="4">
        <v>0.93700000000000006</v>
      </c>
      <c r="X147" s="4">
        <v>170.75</v>
      </c>
      <c r="Y147" s="4">
        <v>16.126000000000001</v>
      </c>
      <c r="Z147" s="4">
        <f t="shared" si="4"/>
        <v>18</v>
      </c>
    </row>
    <row r="148" spans="22:26" x14ac:dyDescent="0.3">
      <c r="V148" t="s">
        <v>154</v>
      </c>
      <c r="W148" s="4">
        <v>1.1559999999999999</v>
      </c>
      <c r="X148" s="4">
        <v>207.96</v>
      </c>
      <c r="Y148" s="4">
        <v>15.688000000000001</v>
      </c>
      <c r="Z148" s="4">
        <f t="shared" si="4"/>
        <v>18</v>
      </c>
    </row>
    <row r="149" spans="22:26" x14ac:dyDescent="0.3">
      <c r="V149" t="s">
        <v>155</v>
      </c>
      <c r="W149" s="4">
        <v>1.375</v>
      </c>
      <c r="X149" s="4">
        <v>244.14</v>
      </c>
      <c r="Y149" s="4">
        <v>15.25</v>
      </c>
      <c r="Z149" s="4">
        <f t="shared" si="4"/>
        <v>18</v>
      </c>
    </row>
    <row r="150" spans="22:26" x14ac:dyDescent="0.3">
      <c r="V150" t="s">
        <v>156</v>
      </c>
      <c r="W150" s="4">
        <v>1.5620000000000001</v>
      </c>
      <c r="X150" s="4">
        <v>274.23</v>
      </c>
      <c r="Y150" s="4">
        <v>14.875999999999999</v>
      </c>
      <c r="Z150" s="4">
        <f t="shared" si="4"/>
        <v>18</v>
      </c>
    </row>
    <row r="151" spans="22:26" x14ac:dyDescent="0.3">
      <c r="V151" t="s">
        <v>157</v>
      </c>
      <c r="W151" s="4">
        <v>1.7809999999999999</v>
      </c>
      <c r="X151" s="4">
        <v>308.51</v>
      </c>
      <c r="Y151" s="4">
        <v>14.438000000000001</v>
      </c>
      <c r="Z151" s="4">
        <f t="shared" si="4"/>
        <v>18</v>
      </c>
    </row>
    <row r="152" spans="22:26" x14ac:dyDescent="0.3">
      <c r="V152" t="s">
        <v>158</v>
      </c>
      <c r="W152" s="4">
        <v>0.25</v>
      </c>
      <c r="X152" s="4">
        <v>52.73</v>
      </c>
      <c r="Y152" s="4">
        <v>19.5</v>
      </c>
      <c r="Z152" s="4">
        <f t="shared" si="4"/>
        <v>20</v>
      </c>
    </row>
    <row r="153" spans="22:26" x14ac:dyDescent="0.3">
      <c r="V153" t="s">
        <v>159</v>
      </c>
      <c r="W153" s="4">
        <v>0.375</v>
      </c>
      <c r="X153" s="4">
        <v>78.599999999999994</v>
      </c>
      <c r="Y153" s="4">
        <v>19.25</v>
      </c>
      <c r="Z153" s="4">
        <f t="shared" si="4"/>
        <v>20</v>
      </c>
    </row>
    <row r="154" spans="22:26" x14ac:dyDescent="0.3">
      <c r="V154" t="s">
        <v>160</v>
      </c>
      <c r="W154" s="4">
        <v>0.5</v>
      </c>
      <c r="X154" s="4">
        <v>104.13</v>
      </c>
      <c r="Y154" s="4">
        <v>19</v>
      </c>
      <c r="Z154" s="4">
        <f t="shared" si="4"/>
        <v>20</v>
      </c>
    </row>
    <row r="155" spans="22:26" x14ac:dyDescent="0.3">
      <c r="V155" t="s">
        <v>161</v>
      </c>
      <c r="W155" s="4">
        <v>0.59299999999999997</v>
      </c>
      <c r="X155" s="4">
        <v>122.91</v>
      </c>
      <c r="Y155" s="4">
        <v>18.814</v>
      </c>
      <c r="Z155" s="4">
        <f t="shared" si="4"/>
        <v>20</v>
      </c>
    </row>
    <row r="156" spans="22:26" x14ac:dyDescent="0.3">
      <c r="V156" t="s">
        <v>162</v>
      </c>
      <c r="W156" s="4">
        <v>0.81200000000000006</v>
      </c>
      <c r="X156" s="4">
        <v>166.4</v>
      </c>
      <c r="Y156" s="4">
        <v>18.376000000000001</v>
      </c>
      <c r="Z156" s="4">
        <f t="shared" si="4"/>
        <v>20</v>
      </c>
    </row>
    <row r="157" spans="22:26" x14ac:dyDescent="0.3">
      <c r="V157" t="s">
        <v>163</v>
      </c>
      <c r="W157" s="4">
        <v>1.0309999999999999</v>
      </c>
      <c r="X157" s="4">
        <v>208.87</v>
      </c>
      <c r="Y157" s="4">
        <v>17.937999999999999</v>
      </c>
      <c r="Z157" s="4">
        <f t="shared" si="4"/>
        <v>20</v>
      </c>
    </row>
    <row r="158" spans="22:26" x14ac:dyDescent="0.3">
      <c r="V158" t="s">
        <v>164</v>
      </c>
      <c r="W158" s="4">
        <v>1.2809999999999999</v>
      </c>
      <c r="X158" s="4">
        <v>256.10000000000002</v>
      </c>
      <c r="Y158" s="4">
        <v>17.437999999999999</v>
      </c>
      <c r="Z158" s="4">
        <f t="shared" si="4"/>
        <v>20</v>
      </c>
    </row>
    <row r="159" spans="22:26" x14ac:dyDescent="0.3">
      <c r="V159" t="s">
        <v>165</v>
      </c>
      <c r="W159" s="4">
        <v>1.5</v>
      </c>
      <c r="X159" s="4">
        <v>296.37</v>
      </c>
      <c r="Y159" s="4">
        <v>17</v>
      </c>
      <c r="Z159" s="4">
        <f t="shared" si="4"/>
        <v>20</v>
      </c>
    </row>
    <row r="160" spans="22:26" x14ac:dyDescent="0.3">
      <c r="V160" t="s">
        <v>166</v>
      </c>
      <c r="W160" s="4">
        <v>1.75</v>
      </c>
      <c r="X160" s="4">
        <v>341.1</v>
      </c>
      <c r="Y160" s="4">
        <v>16.5</v>
      </c>
      <c r="Z160" s="4">
        <f t="shared" si="4"/>
        <v>20</v>
      </c>
    </row>
    <row r="161" spans="22:26" x14ac:dyDescent="0.3">
      <c r="V161" t="s">
        <v>167</v>
      </c>
      <c r="W161" s="4">
        <v>1.968</v>
      </c>
      <c r="X161" s="4">
        <v>379.01</v>
      </c>
      <c r="Y161" s="4">
        <v>16.064</v>
      </c>
      <c r="Z161" s="4">
        <f t="shared" si="4"/>
        <v>20</v>
      </c>
    </row>
    <row r="162" spans="22:26" x14ac:dyDescent="0.3">
      <c r="V162" t="s">
        <v>168</v>
      </c>
      <c r="W162" s="4">
        <v>0.25</v>
      </c>
      <c r="X162" s="4">
        <v>63.41</v>
      </c>
      <c r="Y162" s="4">
        <v>23.5</v>
      </c>
      <c r="Z162" s="4">
        <f t="shared" ref="Z162:Z175" si="5">Y162+(W162*2)</f>
        <v>24</v>
      </c>
    </row>
    <row r="163" spans="22:26" x14ac:dyDescent="0.3">
      <c r="V163" t="s">
        <v>169</v>
      </c>
      <c r="W163" s="4">
        <v>0.375</v>
      </c>
      <c r="X163" s="4">
        <v>94.62</v>
      </c>
      <c r="Y163" s="4">
        <v>23.25</v>
      </c>
      <c r="Z163" s="4">
        <f t="shared" si="5"/>
        <v>24</v>
      </c>
    </row>
    <row r="164" spans="22:26" x14ac:dyDescent="0.3">
      <c r="V164" t="s">
        <v>170</v>
      </c>
      <c r="W164" s="4">
        <v>0.5</v>
      </c>
      <c r="X164" s="4">
        <v>125.49</v>
      </c>
      <c r="Y164" s="4">
        <v>23</v>
      </c>
      <c r="Z164" s="4">
        <f t="shared" si="5"/>
        <v>24</v>
      </c>
    </row>
    <row r="165" spans="22:26" x14ac:dyDescent="0.3">
      <c r="V165" t="s">
        <v>171</v>
      </c>
      <c r="W165" s="4">
        <v>0.56200000000000006</v>
      </c>
      <c r="X165" s="4">
        <v>140.80000000000001</v>
      </c>
      <c r="Y165" s="4">
        <v>22.876000000000001</v>
      </c>
      <c r="Z165" s="4">
        <f t="shared" si="5"/>
        <v>24</v>
      </c>
    </row>
    <row r="166" spans="22:26" x14ac:dyDescent="0.3">
      <c r="V166" t="s">
        <v>172</v>
      </c>
      <c r="W166" s="4">
        <v>0.68700000000000006</v>
      </c>
      <c r="X166" s="4">
        <v>171.17</v>
      </c>
      <c r="Y166" s="4">
        <v>22.626000000000001</v>
      </c>
      <c r="Z166" s="4">
        <f t="shared" si="5"/>
        <v>24</v>
      </c>
    </row>
    <row r="167" spans="22:26" x14ac:dyDescent="0.3">
      <c r="V167" t="s">
        <v>173</v>
      </c>
      <c r="W167" s="4">
        <v>0.96799999999999997</v>
      </c>
      <c r="X167" s="4">
        <v>238.11</v>
      </c>
      <c r="Y167" s="4">
        <v>22.064</v>
      </c>
      <c r="Z167" s="4">
        <f t="shared" si="5"/>
        <v>24</v>
      </c>
    </row>
    <row r="168" spans="22:26" x14ac:dyDescent="0.3">
      <c r="V168" t="s">
        <v>174</v>
      </c>
      <c r="W168" s="4">
        <v>1.218</v>
      </c>
      <c r="X168" s="4">
        <v>296.36</v>
      </c>
      <c r="Y168" s="4">
        <v>21.564</v>
      </c>
      <c r="Z168" s="4">
        <f t="shared" si="5"/>
        <v>24</v>
      </c>
    </row>
    <row r="169" spans="22:26" x14ac:dyDescent="0.3">
      <c r="V169" t="s">
        <v>175</v>
      </c>
      <c r="W169" s="4">
        <v>1.5309999999999999</v>
      </c>
      <c r="X169" s="4">
        <v>367.4</v>
      </c>
      <c r="Y169" s="4">
        <v>30.937999999999999</v>
      </c>
      <c r="Z169" s="4">
        <f t="shared" si="5"/>
        <v>34</v>
      </c>
    </row>
    <row r="170" spans="22:26" x14ac:dyDescent="0.3">
      <c r="V170" t="s">
        <v>176</v>
      </c>
      <c r="W170" s="4">
        <v>1.8120000000000001</v>
      </c>
      <c r="X170" s="4">
        <v>429.39</v>
      </c>
      <c r="Y170" s="4">
        <v>20.376000000000001</v>
      </c>
      <c r="Z170" s="4">
        <f t="shared" si="5"/>
        <v>24</v>
      </c>
    </row>
    <row r="171" spans="22:26" x14ac:dyDescent="0.3">
      <c r="V171" t="s">
        <v>177</v>
      </c>
      <c r="W171" s="4">
        <v>2.0619999999999998</v>
      </c>
      <c r="X171" s="4">
        <v>483.13</v>
      </c>
      <c r="Y171" s="4">
        <v>19.876000000000001</v>
      </c>
      <c r="Z171" s="4">
        <f t="shared" si="5"/>
        <v>24</v>
      </c>
    </row>
    <row r="172" spans="22:26" x14ac:dyDescent="0.3">
      <c r="V172" t="s">
        <v>178</v>
      </c>
      <c r="W172" s="4">
        <v>2.343</v>
      </c>
      <c r="X172" s="4">
        <v>541.94000000000005</v>
      </c>
      <c r="Y172" s="4">
        <v>19.314</v>
      </c>
      <c r="Z172" s="4">
        <f t="shared" si="5"/>
        <v>24</v>
      </c>
    </row>
    <row r="173" spans="22:26" x14ac:dyDescent="0.3">
      <c r="V173" t="s">
        <v>179</v>
      </c>
      <c r="W173" s="4">
        <v>0.312</v>
      </c>
      <c r="X173" s="4">
        <v>98.93</v>
      </c>
      <c r="Y173" s="4">
        <v>29.376000000000001</v>
      </c>
      <c r="Z173" s="4">
        <f t="shared" si="5"/>
        <v>30</v>
      </c>
    </row>
    <row r="174" spans="22:26" x14ac:dyDescent="0.3">
      <c r="V174" t="s">
        <v>180</v>
      </c>
      <c r="W174" s="4">
        <v>0.5</v>
      </c>
      <c r="X174" s="4">
        <v>157.53</v>
      </c>
      <c r="Y174" s="4">
        <v>29</v>
      </c>
      <c r="Z174" s="4">
        <f t="shared" si="5"/>
        <v>30</v>
      </c>
    </row>
    <row r="175" spans="22:26" x14ac:dyDescent="0.3">
      <c r="V175" t="s">
        <v>181</v>
      </c>
      <c r="W175" s="4">
        <v>0.625</v>
      </c>
      <c r="X175" s="4">
        <v>196.08</v>
      </c>
      <c r="Y175" s="4">
        <v>28.75</v>
      </c>
      <c r="Z175" s="4">
        <f t="shared" si="5"/>
        <v>30</v>
      </c>
    </row>
  </sheetData>
  <sheetProtection algorithmName="SHA-512" hashValue="sTQ/BafuQx4SFlpzfqbjBKpyZMYT1mYjxU2bJofg7PErSS1yMuOXRKSenYU8B/JeVNTWUGp4rPX0RFF3roWGUA==" saltValue="DYmKTPRDeZbLB+lAigJ9UA==" spinCount="100000" sheet="1" objects="1" scenarios="1"/>
  <mergeCells count="1">
    <mergeCell ref="L1:M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CALCULATOR (mR - feet)</vt:lpstr>
      <vt:lpstr>DATA</vt:lpstr>
      <vt:lpstr>PipeDataImp</vt:lpstr>
      <vt:lpstr>PipeSize</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Adinolfi, Scott</dc:creator>
  <cp:lastModifiedBy>Jayme Welch</cp:lastModifiedBy>
  <dcterms:created xsi:type="dcterms:W3CDTF">2016-07-28T12:55:02Z</dcterms:created>
  <dcterms:modified xsi:type="dcterms:W3CDTF">2019-10-23T09:25:20Z</dcterms:modified>
</cp:coreProperties>
</file>